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yom\Dropbox\Karen\2020\Նոր Երզնկա\Պուրակ\"/>
    </mc:Choice>
  </mc:AlternateContent>
  <bookViews>
    <workbookView xWindow="3150" yWindow="-270" windowWidth="16080" windowHeight="11550" tabRatio="915"/>
  </bookViews>
  <sheets>
    <sheet name="Лист1" sheetId="34" r:id="rId1"/>
  </sheets>
  <calcPr calcId="152511"/>
</workbook>
</file>

<file path=xl/calcChain.xml><?xml version="1.0" encoding="utf-8"?>
<calcChain xmlns="http://schemas.openxmlformats.org/spreadsheetml/2006/main">
  <c r="Q392" i="34" l="1"/>
  <c r="R392" i="34" s="1"/>
  <c r="J392" i="34"/>
  <c r="G392" i="34"/>
  <c r="R391" i="34" s="1"/>
  <c r="E391" i="34"/>
  <c r="O392" i="34" s="1"/>
  <c r="J389" i="34"/>
  <c r="G389" i="34"/>
  <c r="J386" i="34"/>
  <c r="G386" i="34"/>
  <c r="R385" i="34" s="1"/>
  <c r="E385" i="34"/>
  <c r="E388" i="34" s="1"/>
  <c r="R383" i="34"/>
  <c r="J383" i="34"/>
  <c r="G383" i="34"/>
  <c r="R382" i="34" s="1"/>
  <c r="E382" i="34"/>
  <c r="Q380" i="34"/>
  <c r="R380" i="34" s="1"/>
  <c r="O380" i="34"/>
  <c r="J380" i="34"/>
  <c r="G380" i="34"/>
  <c r="Q377" i="34"/>
  <c r="R377" i="34" s="1"/>
  <c r="O377" i="34"/>
  <c r="J377" i="34"/>
  <c r="G377" i="34"/>
  <c r="E376" i="34"/>
  <c r="R374" i="34"/>
  <c r="J374" i="34"/>
  <c r="G374" i="34"/>
  <c r="Q371" i="34"/>
  <c r="R371" i="34" s="1"/>
  <c r="O371" i="34"/>
  <c r="R370" i="34"/>
  <c r="Q368" i="34"/>
  <c r="R368" i="34" s="1"/>
  <c r="O368" i="34"/>
  <c r="J368" i="34"/>
  <c r="G368" i="34"/>
  <c r="Q365" i="34"/>
  <c r="R365" i="34" s="1"/>
  <c r="O365" i="34"/>
  <c r="J364" i="34"/>
  <c r="J365" i="34" s="1"/>
  <c r="G364" i="34"/>
  <c r="G365" i="34" s="1"/>
  <c r="Q362" i="34"/>
  <c r="R362" i="34" s="1"/>
  <c r="O362" i="34"/>
  <c r="J361" i="34"/>
  <c r="J362" i="34" s="1"/>
  <c r="G361" i="34"/>
  <c r="G362" i="34" s="1"/>
  <c r="R361" i="34" s="1"/>
  <c r="Q359" i="34"/>
  <c r="R359" i="34" s="1"/>
  <c r="O359" i="34"/>
  <c r="J358" i="34"/>
  <c r="J359" i="34" s="1"/>
  <c r="G358" i="34"/>
  <c r="G359" i="34" s="1"/>
  <c r="Q355" i="34"/>
  <c r="R355" i="34" s="1"/>
  <c r="J355" i="34"/>
  <c r="G355" i="34"/>
  <c r="E354" i="34"/>
  <c r="O355" i="34" s="1"/>
  <c r="Q351" i="34"/>
  <c r="R351" i="34" s="1"/>
  <c r="J351" i="34"/>
  <c r="G351" i="34"/>
  <c r="R350" i="34" s="1"/>
  <c r="E350" i="34"/>
  <c r="O351" i="34" s="1"/>
  <c r="Q347" i="34"/>
  <c r="R347" i="34" s="1"/>
  <c r="J347" i="34"/>
  <c r="G347" i="34"/>
  <c r="E346" i="34"/>
  <c r="O347" i="34" s="1"/>
  <c r="A346" i="34"/>
  <c r="Q343" i="34"/>
  <c r="R343" i="34" s="1"/>
  <c r="J343" i="34"/>
  <c r="G343" i="34"/>
  <c r="R342" i="34" s="1"/>
  <c r="E342" i="34"/>
  <c r="O343" i="34" s="1"/>
  <c r="R340" i="34"/>
  <c r="J340" i="34"/>
  <c r="G340" i="34"/>
  <c r="R339" i="34" s="1"/>
  <c r="Q337" i="34"/>
  <c r="R337" i="34" s="1"/>
  <c r="J337" i="34"/>
  <c r="G337" i="34"/>
  <c r="R336" i="34"/>
  <c r="E336" i="34"/>
  <c r="O337" i="34" s="1"/>
  <c r="N334" i="34"/>
  <c r="Q334" i="34" s="1"/>
  <c r="R334" i="34" s="1"/>
  <c r="J334" i="34"/>
  <c r="G334" i="34"/>
  <c r="R333" i="34" s="1"/>
  <c r="E333" i="34"/>
  <c r="O334" i="34" s="1"/>
  <c r="G330" i="34"/>
  <c r="G331" i="34" s="1"/>
  <c r="R330" i="34" s="1"/>
  <c r="E330" i="34"/>
  <c r="A330" i="34"/>
  <c r="A333" i="34" s="1"/>
  <c r="A336" i="34" s="1"/>
  <c r="A339" i="34" s="1"/>
  <c r="A342" i="34" s="1"/>
  <c r="G327" i="34"/>
  <c r="G328" i="34" s="1"/>
  <c r="R327" i="34" s="1"/>
  <c r="E327" i="34"/>
  <c r="A327" i="34"/>
  <c r="G324" i="34"/>
  <c r="G325" i="34" s="1"/>
  <c r="R324" i="34" s="1"/>
  <c r="E324" i="34"/>
  <c r="O317" i="34"/>
  <c r="J317" i="34"/>
  <c r="G317" i="34"/>
  <c r="J314" i="34"/>
  <c r="G314" i="34"/>
  <c r="E313" i="34"/>
  <c r="J309" i="34"/>
  <c r="G309" i="34"/>
  <c r="E308" i="34"/>
  <c r="O309" i="34" s="1"/>
  <c r="J304" i="34"/>
  <c r="G304" i="34"/>
  <c r="E303" i="34"/>
  <c r="O304" i="34" s="1"/>
  <c r="O299" i="34"/>
  <c r="J299" i="34"/>
  <c r="G299" i="34"/>
  <c r="O294" i="34"/>
  <c r="J294" i="34"/>
  <c r="G294" i="34"/>
  <c r="O290" i="34"/>
  <c r="J290" i="34"/>
  <c r="G290" i="34"/>
  <c r="R289" i="34" s="1"/>
  <c r="O286" i="34"/>
  <c r="J286" i="34"/>
  <c r="G286" i="34"/>
  <c r="O282" i="34"/>
  <c r="J282" i="34"/>
  <c r="G282" i="34"/>
  <c r="O277" i="34"/>
  <c r="J277" i="34"/>
  <c r="G277" i="34"/>
  <c r="O272" i="34"/>
  <c r="J272" i="34"/>
  <c r="G272" i="34"/>
  <c r="O267" i="34"/>
  <c r="J267" i="34"/>
  <c r="G267" i="34"/>
  <c r="N260" i="34"/>
  <c r="J260" i="34"/>
  <c r="G259" i="34"/>
  <c r="G260" i="34" s="1"/>
  <c r="E259" i="34"/>
  <c r="O257" i="34"/>
  <c r="J257" i="34"/>
  <c r="G257" i="34"/>
  <c r="J255" i="34"/>
  <c r="G255" i="34"/>
  <c r="J249" i="34"/>
  <c r="G249" i="34"/>
  <c r="E248" i="34"/>
  <c r="E254" i="34" s="1"/>
  <c r="J245" i="34"/>
  <c r="G245" i="34"/>
  <c r="E244" i="34"/>
  <c r="O239" i="34"/>
  <c r="J239" i="34"/>
  <c r="G239" i="34"/>
  <c r="J236" i="34"/>
  <c r="G236" i="34"/>
  <c r="E235" i="34"/>
  <c r="J233" i="34"/>
  <c r="G233" i="34"/>
  <c r="E232" i="34"/>
  <c r="A232" i="34"/>
  <c r="A235" i="34" s="1"/>
  <c r="A238" i="34" s="1"/>
  <c r="A244" i="34" s="1"/>
  <c r="A248" i="34" s="1"/>
  <c r="A254" i="34" s="1"/>
  <c r="A256" i="34" s="1"/>
  <c r="A259" i="34" s="1"/>
  <c r="A266" i="34" s="1"/>
  <c r="A271" i="34" s="1"/>
  <c r="A276" i="34" s="1"/>
  <c r="A281" i="34" s="1"/>
  <c r="A285" i="34" s="1"/>
  <c r="A289" i="34" s="1"/>
  <c r="A293" i="34" s="1"/>
  <c r="A298" i="34" s="1"/>
  <c r="A303" i="34" s="1"/>
  <c r="A308" i="34" s="1"/>
  <c r="A313" i="34" s="1"/>
  <c r="A316" i="34" s="1"/>
  <c r="J226" i="34"/>
  <c r="G226" i="34"/>
  <c r="E225" i="34"/>
  <c r="J221" i="34"/>
  <c r="G221" i="34"/>
  <c r="E220" i="34"/>
  <c r="O221" i="34" s="1"/>
  <c r="J216" i="34"/>
  <c r="G216" i="34"/>
  <c r="R215" i="34" s="1"/>
  <c r="E215" i="34"/>
  <c r="O218" i="34" s="1"/>
  <c r="J212" i="34"/>
  <c r="G212" i="34"/>
  <c r="E211" i="34"/>
  <c r="O212" i="34" s="1"/>
  <c r="J208" i="34"/>
  <c r="G208" i="34"/>
  <c r="E207" i="34"/>
  <c r="J204" i="34"/>
  <c r="G204" i="34"/>
  <c r="E203" i="34"/>
  <c r="O204" i="34" s="1"/>
  <c r="J200" i="34"/>
  <c r="G200" i="34"/>
  <c r="E199" i="34"/>
  <c r="J196" i="34"/>
  <c r="G196" i="34"/>
  <c r="E195" i="34"/>
  <c r="O196" i="34" s="1"/>
  <c r="J192" i="34"/>
  <c r="G192" i="34"/>
  <c r="R191" i="34" s="1"/>
  <c r="E191" i="34"/>
  <c r="J186" i="34"/>
  <c r="G186" i="34"/>
  <c r="E185" i="34"/>
  <c r="O189" i="34" s="1"/>
  <c r="N183" i="34"/>
  <c r="J183" i="34"/>
  <c r="G183" i="34"/>
  <c r="E182" i="34"/>
  <c r="A182" i="34"/>
  <c r="A185" i="34" s="1"/>
  <c r="A191" i="34" s="1"/>
  <c r="A195" i="34" s="1"/>
  <c r="A199" i="34" s="1"/>
  <c r="A203" i="34" s="1"/>
  <c r="A207" i="34" s="1"/>
  <c r="A211" i="34" s="1"/>
  <c r="A215" i="34" s="1"/>
  <c r="A220" i="34" s="1"/>
  <c r="A225" i="34" s="1"/>
  <c r="J179" i="34"/>
  <c r="G179" i="34"/>
  <c r="E178" i="34"/>
  <c r="J173" i="34"/>
  <c r="G173" i="34"/>
  <c r="E172" i="34"/>
  <c r="O173" i="34" s="1"/>
  <c r="J169" i="34"/>
  <c r="G169" i="34"/>
  <c r="E168" i="34"/>
  <c r="O169" i="34" s="1"/>
  <c r="R164" i="34"/>
  <c r="E164" i="34"/>
  <c r="O165" i="34" s="1"/>
  <c r="J161" i="34"/>
  <c r="G161" i="34"/>
  <c r="E160" i="34"/>
  <c r="O161" i="34" s="1"/>
  <c r="J157" i="34"/>
  <c r="R156" i="34" s="1"/>
  <c r="G157" i="34"/>
  <c r="E156" i="34"/>
  <c r="O157" i="34" s="1"/>
  <c r="J153" i="34"/>
  <c r="G153" i="34"/>
  <c r="E152" i="34"/>
  <c r="J147" i="34"/>
  <c r="G147" i="34"/>
  <c r="E146" i="34"/>
  <c r="O150" i="34" s="1"/>
  <c r="N144" i="34"/>
  <c r="J144" i="34"/>
  <c r="G144" i="34"/>
  <c r="E143" i="34"/>
  <c r="A143" i="34"/>
  <c r="A146" i="34" s="1"/>
  <c r="A152" i="34" s="1"/>
  <c r="A156" i="34" s="1"/>
  <c r="A160" i="34" s="1"/>
  <c r="A164" i="34" s="1"/>
  <c r="A168" i="34" s="1"/>
  <c r="A172" i="34" s="1"/>
  <c r="J140" i="34"/>
  <c r="G140" i="34"/>
  <c r="R139" i="34" s="1"/>
  <c r="E139" i="34"/>
  <c r="J134" i="34"/>
  <c r="G134" i="34"/>
  <c r="J130" i="34"/>
  <c r="G130" i="34"/>
  <c r="E129" i="34"/>
  <c r="O130" i="34" s="1"/>
  <c r="J126" i="34"/>
  <c r="G126" i="34"/>
  <c r="E125" i="34"/>
  <c r="O126" i="34" s="1"/>
  <c r="J122" i="34"/>
  <c r="G122" i="34"/>
  <c r="E121" i="34"/>
  <c r="O122" i="34" s="1"/>
  <c r="J118" i="34"/>
  <c r="G118" i="34"/>
  <c r="E117" i="34"/>
  <c r="O118" i="34" s="1"/>
  <c r="R114" i="34"/>
  <c r="J114" i="34"/>
  <c r="G114" i="34"/>
  <c r="E113" i="34"/>
  <c r="E133" i="34" s="1"/>
  <c r="J108" i="34"/>
  <c r="G108" i="34"/>
  <c r="E107" i="34"/>
  <c r="O110" i="34" s="1"/>
  <c r="J104" i="34"/>
  <c r="G104" i="34"/>
  <c r="R103" i="34" s="1"/>
  <c r="E103" i="34"/>
  <c r="O105" i="34" s="1"/>
  <c r="J100" i="34"/>
  <c r="G100" i="34"/>
  <c r="E99" i="34"/>
  <c r="J96" i="34"/>
  <c r="G96" i="34"/>
  <c r="E95" i="34"/>
  <c r="A95" i="34"/>
  <c r="A99" i="34" s="1"/>
  <c r="A103" i="34" s="1"/>
  <c r="A107" i="34" s="1"/>
  <c r="A113" i="34" s="1"/>
  <c r="A117" i="34" s="1"/>
  <c r="A121" i="34" s="1"/>
  <c r="A125" i="34" s="1"/>
  <c r="A129" i="34" s="1"/>
  <c r="A133" i="34" s="1"/>
  <c r="O92" i="34"/>
  <c r="J92" i="34"/>
  <c r="G91" i="34"/>
  <c r="G92" i="34" s="1"/>
  <c r="J89" i="34"/>
  <c r="G89" i="34"/>
  <c r="E88" i="34"/>
  <c r="O89" i="34" s="1"/>
  <c r="J86" i="34"/>
  <c r="G85" i="34"/>
  <c r="G86" i="34" s="1"/>
  <c r="E85" i="34"/>
  <c r="O86" i="34" s="1"/>
  <c r="N79" i="34"/>
  <c r="J79" i="34"/>
  <c r="G78" i="34"/>
  <c r="G79" i="34" s="1"/>
  <c r="E78" i="34"/>
  <c r="N76" i="34"/>
  <c r="O76" i="34" s="1"/>
  <c r="J76" i="34"/>
  <c r="G76" i="34"/>
  <c r="N69" i="34"/>
  <c r="J69" i="34"/>
  <c r="G68" i="34"/>
  <c r="G69" i="34" s="1"/>
  <c r="E68" i="34"/>
  <c r="O66" i="34"/>
  <c r="J66" i="34"/>
  <c r="G66" i="34"/>
  <c r="R65" i="34" s="1"/>
  <c r="N63" i="34"/>
  <c r="O63" i="34" s="1"/>
  <c r="J62" i="34"/>
  <c r="J63" i="34" s="1"/>
  <c r="G62" i="34"/>
  <c r="G63" i="34" s="1"/>
  <c r="O60" i="34"/>
  <c r="R59" i="34"/>
  <c r="N57" i="34"/>
  <c r="O57" i="34" s="1"/>
  <c r="J57" i="34"/>
  <c r="G57" i="34"/>
  <c r="J52" i="34"/>
  <c r="G52" i="34"/>
  <c r="E51" i="34"/>
  <c r="O53" i="34" s="1"/>
  <c r="J47" i="34"/>
  <c r="G47" i="34"/>
  <c r="R46" i="34" s="1"/>
  <c r="E46" i="34"/>
  <c r="O49" i="34" s="1"/>
  <c r="A46" i="34"/>
  <c r="A51" i="34" s="1"/>
  <c r="A56" i="34" s="1"/>
  <c r="A59" i="34" s="1"/>
  <c r="A62" i="34" s="1"/>
  <c r="A75" i="34" s="1"/>
  <c r="A78" i="34" s="1"/>
  <c r="J42" i="34"/>
  <c r="G42" i="34"/>
  <c r="J39" i="34"/>
  <c r="G39" i="34"/>
  <c r="E38" i="34"/>
  <c r="J36" i="34"/>
  <c r="G36" i="34"/>
  <c r="E35" i="34"/>
  <c r="J33" i="34"/>
  <c r="G33" i="34"/>
  <c r="E32" i="34"/>
  <c r="J30" i="34"/>
  <c r="R29" i="34" s="1"/>
  <c r="G30" i="34"/>
  <c r="R26" i="34"/>
  <c r="J25" i="34"/>
  <c r="J26" i="34" s="1"/>
  <c r="G25" i="34"/>
  <c r="G26" i="34" s="1"/>
  <c r="A25" i="34"/>
  <c r="A29" i="34" s="1"/>
  <c r="A32" i="34" s="1"/>
  <c r="A35" i="34" s="1"/>
  <c r="A38" i="34" s="1"/>
  <c r="A41" i="34" s="1"/>
  <c r="R22" i="34"/>
  <c r="J21" i="34"/>
  <c r="J22" i="34" s="1"/>
  <c r="G21" i="34"/>
  <c r="G22" i="34" s="1"/>
  <c r="E21" i="34"/>
  <c r="N11" i="34"/>
  <c r="Q226" i="34" s="1"/>
  <c r="R226" i="34" s="1"/>
  <c r="R185" i="34" l="1"/>
  <c r="R160" i="34"/>
  <c r="R195" i="34"/>
  <c r="R379" i="34"/>
  <c r="O69" i="34"/>
  <c r="R113" i="34"/>
  <c r="R129" i="34"/>
  <c r="R203" i="34"/>
  <c r="R238" i="34"/>
  <c r="Q294" i="34"/>
  <c r="R294" i="34" s="1"/>
  <c r="R308" i="34"/>
  <c r="Q257" i="34"/>
  <c r="R257" i="34" s="1"/>
  <c r="Q260" i="34"/>
  <c r="R260" i="34" s="1"/>
  <c r="R121" i="34"/>
  <c r="R133" i="34"/>
  <c r="O183" i="34"/>
  <c r="R285" i="34"/>
  <c r="O48" i="34"/>
  <c r="R207" i="34"/>
  <c r="R232" i="34"/>
  <c r="R244" i="34"/>
  <c r="R266" i="34"/>
  <c r="R271" i="34"/>
  <c r="Q277" i="34"/>
  <c r="R277" i="34" s="1"/>
  <c r="Q309" i="34"/>
  <c r="R309" i="34" s="1"/>
  <c r="R316" i="34"/>
  <c r="R354" i="34"/>
  <c r="R358" i="34"/>
  <c r="R367" i="34"/>
  <c r="R373" i="34"/>
  <c r="R376" i="34"/>
  <c r="R388" i="34"/>
  <c r="R75" i="34"/>
  <c r="R107" i="34"/>
  <c r="R199" i="34"/>
  <c r="R220" i="34"/>
  <c r="Q239" i="34"/>
  <c r="R239" i="34" s="1"/>
  <c r="R254" i="34"/>
  <c r="R276" i="34"/>
  <c r="Q282" i="34"/>
  <c r="R282" i="34" s="1"/>
  <c r="Q286" i="34"/>
  <c r="R286" i="34" s="1"/>
  <c r="Q290" i="34"/>
  <c r="R290" i="34" s="1"/>
  <c r="R303" i="34"/>
  <c r="R346" i="34"/>
  <c r="R125" i="34"/>
  <c r="O144" i="34"/>
  <c r="R152" i="34"/>
  <c r="R182" i="34"/>
  <c r="R248" i="34"/>
  <c r="R256" i="34"/>
  <c r="O260" i="34"/>
  <c r="Q267" i="34"/>
  <c r="R267" i="34" s="1"/>
  <c r="Q272" i="34"/>
  <c r="R272" i="34" s="1"/>
  <c r="R293" i="34"/>
  <c r="Q299" i="34"/>
  <c r="R299" i="34" s="1"/>
  <c r="Q304" i="34"/>
  <c r="R304" i="34" s="1"/>
  <c r="R313" i="34"/>
  <c r="Q317" i="34"/>
  <c r="R317" i="34" s="1"/>
  <c r="R364" i="34"/>
  <c r="R25" i="34"/>
  <c r="R91" i="34"/>
  <c r="R99" i="34"/>
  <c r="R117" i="34"/>
  <c r="R143" i="34"/>
  <c r="R146" i="34"/>
  <c r="R172" i="34"/>
  <c r="R211" i="34"/>
  <c r="R259" i="34"/>
  <c r="R281" i="34"/>
  <c r="R298" i="34"/>
  <c r="R51" i="34"/>
  <c r="R225" i="34"/>
  <c r="R235" i="34"/>
  <c r="A354" i="34"/>
  <c r="A358" i="34" s="1"/>
  <c r="A361" i="34" s="1"/>
  <c r="A364" i="34" s="1"/>
  <c r="A376" i="34" s="1"/>
  <c r="A379" i="34" s="1"/>
  <c r="A350" i="34"/>
  <c r="R21" i="34"/>
  <c r="R35" i="34"/>
  <c r="O47" i="34"/>
  <c r="Q57" i="34"/>
  <c r="R57" i="34" s="1"/>
  <c r="Q69" i="34"/>
  <c r="R69" i="34" s="1"/>
  <c r="R38" i="34"/>
  <c r="R78" i="34"/>
  <c r="R85" i="34"/>
  <c r="R32" i="34"/>
  <c r="R41" i="34"/>
  <c r="R56" i="34"/>
  <c r="R68" i="34"/>
  <c r="O79" i="34"/>
  <c r="R88" i="34"/>
  <c r="R95" i="34"/>
  <c r="Q144" i="34"/>
  <c r="R144" i="34" s="1"/>
  <c r="R168" i="34"/>
  <c r="R178" i="34"/>
  <c r="O188" i="34"/>
  <c r="O134" i="34"/>
  <c r="A85" i="34"/>
  <c r="A88" i="34" s="1"/>
  <c r="A65" i="34"/>
  <c r="A68" i="34" s="1"/>
  <c r="A91" i="34" s="1"/>
  <c r="R62" i="34"/>
  <c r="E41" i="34"/>
  <c r="O54" i="34"/>
  <c r="Q49" i="34"/>
  <c r="O52" i="34"/>
  <c r="Q53" i="34"/>
  <c r="Q86" i="34"/>
  <c r="R86" i="34" s="1"/>
  <c r="Q92" i="34"/>
  <c r="R92" i="34" s="1"/>
  <c r="Q104" i="34"/>
  <c r="O109" i="34"/>
  <c r="O111" i="34"/>
  <c r="Q122" i="34"/>
  <c r="R122" i="34" s="1"/>
  <c r="Q130" i="34"/>
  <c r="R130" i="34" s="1"/>
  <c r="Q149" i="34"/>
  <c r="Q161" i="34"/>
  <c r="R161" i="34" s="1"/>
  <c r="Q165" i="34"/>
  <c r="R165" i="34" s="1"/>
  <c r="Q173" i="34"/>
  <c r="R173" i="34" s="1"/>
  <c r="Q187" i="34"/>
  <c r="Q189" i="34"/>
  <c r="O192" i="34"/>
  <c r="O200" i="34"/>
  <c r="O208" i="34"/>
  <c r="O216" i="34"/>
  <c r="Q217" i="34"/>
  <c r="O226" i="34"/>
  <c r="Q52" i="34"/>
  <c r="Q76" i="34"/>
  <c r="R76" i="34" s="1"/>
  <c r="Q47" i="34"/>
  <c r="Q66" i="34"/>
  <c r="R66" i="34" s="1"/>
  <c r="O104" i="34"/>
  <c r="Q105" i="34"/>
  <c r="Q110" i="34"/>
  <c r="O149" i="34"/>
  <c r="O187" i="34"/>
  <c r="Q196" i="34"/>
  <c r="R196" i="34" s="1"/>
  <c r="Q204" i="34"/>
  <c r="R204" i="34" s="1"/>
  <c r="Q212" i="34"/>
  <c r="R212" i="34" s="1"/>
  <c r="O217" i="34"/>
  <c r="Q221" i="34"/>
  <c r="R221" i="34" s="1"/>
  <c r="Q48" i="34"/>
  <c r="Q54" i="34"/>
  <c r="Q60" i="34"/>
  <c r="R60" i="34" s="1"/>
  <c r="Q63" i="34"/>
  <c r="R63" i="34" s="1"/>
  <c r="Q89" i="34"/>
  <c r="R89" i="34" s="1"/>
  <c r="Q118" i="34"/>
  <c r="R118" i="34" s="1"/>
  <c r="Q126" i="34"/>
  <c r="R126" i="34" s="1"/>
  <c r="Q134" i="34"/>
  <c r="R134" i="34" s="1"/>
  <c r="Q148" i="34"/>
  <c r="Q150" i="34"/>
  <c r="Q157" i="34"/>
  <c r="R157" i="34" s="1"/>
  <c r="Q169" i="34"/>
  <c r="R169" i="34" s="1"/>
  <c r="Q188" i="34"/>
  <c r="Q218" i="34"/>
  <c r="Q79" i="34"/>
  <c r="R79" i="34" s="1"/>
  <c r="Q109" i="34"/>
  <c r="Q111" i="34"/>
  <c r="O148" i="34"/>
  <c r="Q183" i="34"/>
  <c r="R183" i="34" s="1"/>
  <c r="Q192" i="34"/>
  <c r="R192" i="34" s="1"/>
  <c r="Q200" i="34"/>
  <c r="R200" i="34" s="1"/>
  <c r="Q208" i="34"/>
  <c r="R208" i="34" s="1"/>
  <c r="Q216" i="34"/>
  <c r="A391" i="34" l="1"/>
  <c r="A370" i="34" s="1"/>
  <c r="A382" i="34" s="1"/>
  <c r="A385" i="34" s="1"/>
  <c r="A388" i="34" s="1"/>
  <c r="A373" i="34"/>
  <c r="A367" i="34"/>
  <c r="R147" i="34"/>
  <c r="R216" i="34"/>
  <c r="R104" i="34"/>
  <c r="R108" i="34"/>
  <c r="R47" i="34"/>
  <c r="R52" i="34"/>
  <c r="R186" i="34"/>
  <c r="P9" i="34" l="1"/>
</calcChain>
</file>

<file path=xl/sharedStrings.xml><?xml version="1.0" encoding="utf-8"?>
<sst xmlns="http://schemas.openxmlformats.org/spreadsheetml/2006/main" count="515" uniqueCount="256">
  <si>
    <t>Ý³Ë³Ñ³ßíÇ ³Ýí³ÝáõÙÁ</t>
  </si>
  <si>
    <t>ÐÇÙù</t>
  </si>
  <si>
    <t>ØÇçÇÝ ³ßË³ï³í³ñÓÁ</t>
  </si>
  <si>
    <t>¹ñ³Ù</t>
  </si>
  <si>
    <t>Ü³Ë³Ñ³ßí³ÛÇÝ ³ñÅ»ùÁ</t>
  </si>
  <si>
    <t>ÞÇýñ, ÝáñÙ³-ïÇíÇ Ñ³Ù³ñÁ</t>
  </si>
  <si>
    <t>²ßË³ï³ÝùÝ»ñÇ, Í³Ëë»ñÇ ³Ýí³ÝáõÙÁ ¨ ã³÷Ù³Ý ÙÇ³íáñÁ</t>
  </si>
  <si>
    <t>Ñ³½. ¹ñ³Ù</t>
  </si>
  <si>
    <t>â³÷Ù³Ý ÙÇ³íáñÁ</t>
  </si>
  <si>
    <t>ø³Ý³ÏÁ</t>
  </si>
  <si>
    <t>ÜÛáõÃ»ñÇ ³Ýí³ÝáõÙÁ</t>
  </si>
  <si>
    <t>ÜÛáõÃ»ñÇ ³ñÅ»ùÁ (Ñ³½³ñ ¹ñ³Ù)</t>
  </si>
  <si>
    <t>ÀÝ¹Ñ³ÝáõñÇ ³ñÅ»ùÁ ÙÇ³íáñÇ Ñ³Ù³ñ Ñ³½³ñ ¹ñ³Ù</t>
  </si>
  <si>
    <t>ÀÝ¹Ñ³ÝáõñÇ ³ñÅ»ùÁ Ñ³½³ñ ¹ñ³Ù</t>
  </si>
  <si>
    <t>ÜÛáõÃ»ñÇ ÁÝ¹Ñ³Ýáõñ Í³ËëÁ</t>
  </si>
  <si>
    <t>ØÇ³íáñÇ ³ñÅ»ùÁ Ñ³½³ñ ¹ñ³Ù</t>
  </si>
  <si>
    <t xml:space="preserve">Ð/Ð
</t>
  </si>
  <si>
    <t>²ßË³ï³í³ñÓÇ ÙÇ³íáñÁ éáõµ./Ñ³½³ñ ¹ñ³Ù</t>
  </si>
  <si>
    <t>²ßË³ï³í³ñÓÇ ÙÇ³íáñÇ ³ñÅ»ùÁ Ñ³½³ñ ¹ñ³Ù</t>
  </si>
  <si>
    <t>Ø»ù»Ý. ß³Ñ³·áñÍÙ³Ý ÙÇ³íáñÁ 
éáõµ./Ñ³½³ñ ¹ñ³Ù</t>
  </si>
  <si>
    <t>ø³Ý³ÏÁ  ÙÇ³íáñÇ Ñ³Ù³ñ</t>
  </si>
  <si>
    <t xml:space="preserve">Անցումային գործակիցները: </t>
  </si>
  <si>
    <t>աշխատավարձի -</t>
  </si>
  <si>
    <t>մեքենաների շահագործման -</t>
  </si>
  <si>
    <t>100մ</t>
  </si>
  <si>
    <t>Ընդամենը</t>
  </si>
  <si>
    <t>մ</t>
  </si>
  <si>
    <t>հատ</t>
  </si>
  <si>
    <t>Ընդամենը նախահաշվով</t>
  </si>
  <si>
    <t>ÞÇÝ³ñ³ñ³Ï³Ý ³ßË³ï³ÝùÝ»ñ</t>
  </si>
  <si>
    <t>î»Õ³ÛÇÝ Ý³Ë³Ñ³ßÇí ÃÇí</t>
  </si>
  <si>
    <t>100մ3</t>
  </si>
  <si>
    <t>C310-15</t>
  </si>
  <si>
    <t>տ</t>
  </si>
  <si>
    <t>E11-6</t>
  </si>
  <si>
    <t>մ3</t>
  </si>
  <si>
    <t>1-6</t>
  </si>
  <si>
    <t>բազալտե խիճ 20-40մմ</t>
  </si>
  <si>
    <t>բազալտե խիճ 5-10մմ</t>
  </si>
  <si>
    <t>կողապատում</t>
  </si>
  <si>
    <t>մ2</t>
  </si>
  <si>
    <t>տախտակներ</t>
  </si>
  <si>
    <t>կգ</t>
  </si>
  <si>
    <t>ցեմենտային շաղախ</t>
  </si>
  <si>
    <t>1-11</t>
  </si>
  <si>
    <t>100մ2</t>
  </si>
  <si>
    <t>39-1,40-1</t>
  </si>
  <si>
    <t>մանրահատիկ ասֆալտբետոն</t>
  </si>
  <si>
    <t>գ.մ</t>
  </si>
  <si>
    <t>յուղաներկ</t>
  </si>
  <si>
    <t>շուկա</t>
  </si>
  <si>
    <t>E27-33</t>
  </si>
  <si>
    <t>նախագիծ</t>
  </si>
  <si>
    <t>E27-86-1</t>
  </si>
  <si>
    <t>բետոն B15</t>
  </si>
  <si>
    <t>խիճ 20-40մմ</t>
  </si>
  <si>
    <t>E27-164-1 E27-165-1</t>
  </si>
  <si>
    <t>Е9-123</t>
  </si>
  <si>
    <t>էլեկտրոդ</t>
  </si>
  <si>
    <t>E1-961</t>
  </si>
  <si>
    <t>80-3</t>
  </si>
  <si>
    <t>E6-3-2</t>
  </si>
  <si>
    <t>11-6</t>
  </si>
  <si>
    <t>E15-614</t>
  </si>
  <si>
    <t>164-8</t>
  </si>
  <si>
    <t>պողպատե թիթեղ</t>
  </si>
  <si>
    <t>նստարանի մետաղական մասերի տեղադրում</t>
  </si>
  <si>
    <t>Գրունտի տեղափոխում դեպի թափոնակույտ 7 կմ</t>
  </si>
  <si>
    <t>Ցանկապատի մետաղական մասերի տեղադրում</t>
  </si>
  <si>
    <t>Е9-234</t>
  </si>
  <si>
    <t>40x40x2մմ պողպատե խողովակների արժեքը</t>
  </si>
  <si>
    <t>40x40x2մմ պողպատե խողովակներ</t>
  </si>
  <si>
    <t>Մետաղական  մասերի յուղաներկում երկու անգամ</t>
  </si>
  <si>
    <t>բետոնե հիմքերի իրականացում B20 դասի բետոնից</t>
  </si>
  <si>
    <t>ծանր բետոն B20</t>
  </si>
  <si>
    <t>Մետաղական կոնստրուկցիաների յուղաներկում երկու անգամ</t>
  </si>
  <si>
    <t xml:space="preserve">մետաղական թիթեղ </t>
  </si>
  <si>
    <t>2-1</t>
  </si>
  <si>
    <t xml:space="preserve">Շին աղբի բարձում և տեղափոխում դեպի թափոնակույտ </t>
  </si>
  <si>
    <t>C310-5</t>
  </si>
  <si>
    <t>ø²Ü¸Ø²Ü ²ÞÊ²î²ÜøÜºð</t>
  </si>
  <si>
    <t>E27-78</t>
  </si>
  <si>
    <t xml:space="preserve">Բազալտե եզրաքարերի տեղադրում 300x150մմ
</t>
  </si>
  <si>
    <t>âáñ ó/³í Ë³ñÝáõñ¹</t>
  </si>
  <si>
    <t>E11-132</t>
  </si>
  <si>
    <t>Բետոնե սալիկ</t>
  </si>
  <si>
    <t>´áõë³ÑáÕÇ Ý»ñÏñáõÙ ¨ ÷éáõÙ ï»ÕáõÙª 100 ÙÙ ß»ñïáí</t>
  </si>
  <si>
    <t>E48-168</t>
  </si>
  <si>
    <t>բոսահող</t>
  </si>
  <si>
    <t>E48-169</t>
  </si>
  <si>
    <t>î³ñ³ÍùÇ Ï³Ý³ã³å³ïÙ³Ý Çñ³Ï³Ý³óáõÙª ·³½áÝÇ ó³ÝáõÙ</t>
  </si>
  <si>
    <t>E48-214</t>
  </si>
  <si>
    <t>խոտի սերմեր</t>
  </si>
  <si>
    <t>Գրունտի փորում հիմքի համար</t>
  </si>
  <si>
    <t>îá÷³Ý³Í ËÇ×</t>
  </si>
  <si>
    <t>բետոնե հիմքերի իրականացում B12.5 դասի բետոնից</t>
  </si>
  <si>
    <t>ծանր բետոն B12.5</t>
  </si>
  <si>
    <t>60x40x2մմ պողպատե խողովակների արժեքը</t>
  </si>
  <si>
    <t>40x20x2մմ պողպատե խողովակների արժեքը</t>
  </si>
  <si>
    <t>40x20x2մմ պողպատե խողովակներ</t>
  </si>
  <si>
    <t>պողպատե թիթեղի 8х250 արժեքը</t>
  </si>
  <si>
    <t>¶ñáõÝïÇ ÷áñáõÙ ÑÇÙùÇ Ñ³Ù³ñ</t>
  </si>
  <si>
    <t xml:space="preserve">Ê×Ç Ý³Ë³ß»ñïÇ ÉÇóù ÑÇÙùÇ ï³Ï
</t>
  </si>
  <si>
    <t>Աղբամանի մետաղական մասերի տեղադրում</t>
  </si>
  <si>
    <t>50x25x2մմ պողպատե խողովակների արժեքը</t>
  </si>
  <si>
    <t xml:space="preserve">äáÕå. ï³ß. Ñ»Í. N10, </t>
  </si>
  <si>
    <t>մետաղական թիթեղ 2 մմ</t>
  </si>
  <si>
    <t>Բազալտե  եզրաքարեր 300x150մմ</t>
  </si>
  <si>
    <t>Е9-202</t>
  </si>
  <si>
    <t>E27-36</t>
  </si>
  <si>
    <t>E27-22-1</t>
  </si>
  <si>
    <t>ÐÐ Îàî²ÚøÆ Ø²ð¼Æ Üàð ºð¼ÜÎ² Ð²Ø²ÚÜøàôØ äàôð²ÎÆ
Î²èàôòØ²Ü ՆԱԽԱԳԻԾ</t>
  </si>
  <si>
    <t>ò³ÝÏ³å³ï-1-Ç ù³Ý¹áõÙ ÑÇÙù»ñÇ Ñ»ï ÙÇ³ëÇÝª 115.0 ·ÍÙ</t>
  </si>
  <si>
    <t>Е9-46</t>
  </si>
  <si>
    <t>ò³ÝÏ³å³ï-2-Ç ù³Ý¹áõÙ ÑÇÙù»ñÇ Ñ»ï ÙÇ³ëÇÝª 29.0 ·ÍÙ</t>
  </si>
  <si>
    <t>´³½³Éï» ÑÇÝ 150x300 ÙÙ »½ñ³ù³ñ»ñÇ ù³Ý¹áõÙ ÑÇÙù»ñÇ Ñ»ï</t>
  </si>
  <si>
    <t>E46-100</t>
  </si>
  <si>
    <t xml:space="preserve">´»ïáÝ» 200x80 ÙÙ ã³÷»ñÇ »½ñ³ù³ñ»ñÇ ï»Õ³¹ñáõÙ
</t>
  </si>
  <si>
    <t>Բետոնե եզրաքարեր 200x80մմ</t>
  </si>
  <si>
    <t>տնկիներ</t>
  </si>
  <si>
    <t>E48-204</t>
  </si>
  <si>
    <t>E48-120</t>
  </si>
  <si>
    <t>Ցանկապատ 194 գ.մ.</t>
  </si>
  <si>
    <t>²Ô´²Ø²Ü (0.35x0.30x0.50 Ù) 7 հատ</t>
  </si>
  <si>
    <t>Գրունտի փորում հիմքերի համար</t>
  </si>
  <si>
    <t>բետոնե հիմքերի իրականացում B15 դասի բետոնից</t>
  </si>
  <si>
    <t>50x50x3մմ պողպատե խողովակների արժեքը</t>
  </si>
  <si>
    <t>50x50x3մմ պողպատե խողովակներ</t>
  </si>
  <si>
    <t>պողպատե թիթեղի արժեքը</t>
  </si>
  <si>
    <t>E10-70</t>
  </si>
  <si>
    <t>11-1</t>
  </si>
  <si>
    <t>հակասեպտիկ մածուկ</t>
  </si>
  <si>
    <t>մեխեր</t>
  </si>
  <si>
    <t>î³Ëï³ÏÇ É³ù³å³ïáõÙ</t>
  </si>
  <si>
    <t>լաք</t>
  </si>
  <si>
    <t>Նստարան 14 հատ</t>
  </si>
  <si>
    <t xml:space="preserve">Խճի նախաշերտի լիցք՝ 100 մմ հաստությամբ
</t>
  </si>
  <si>
    <t>80x80x3մմ պողպատե խողովակների արժեքը</t>
  </si>
  <si>
    <t>60x60x3մմ պողպատե խողովակների արժեքը</t>
  </si>
  <si>
    <t>30x30x3մմ պողպատե խողովակների արժեքը</t>
  </si>
  <si>
    <t>Ø»ï³Õ³Ï³Ý Ù³ë»ñÇ Ý»ñÏáõÙ</t>
  </si>
  <si>
    <t>E1-962</t>
  </si>
  <si>
    <t xml:space="preserve">Գրունտի մշակում ձեռքով </t>
  </si>
  <si>
    <t>80-4</t>
  </si>
  <si>
    <t>E23-1</t>
  </si>
  <si>
    <t>ավազ</t>
  </si>
  <si>
    <t>E1-1640</t>
  </si>
  <si>
    <t>Խրամուղու ետլիցք բուլդոզերով, տեղի  բնահողով</t>
  </si>
  <si>
    <t>1000մ3</t>
  </si>
  <si>
    <t>31-8</t>
  </si>
  <si>
    <t>E1-1546</t>
  </si>
  <si>
    <t>Ավելնորդ գրունտի բարձում ավտոինքնաթափեր</t>
  </si>
  <si>
    <t>C310-2</t>
  </si>
  <si>
    <t xml:space="preserve">Ավելնորդ գրունտի տեղափոխում </t>
  </si>
  <si>
    <t>E22-64</t>
  </si>
  <si>
    <t>Պողպատե խողովակ ∅48x3մմ</t>
  </si>
  <si>
    <t>Պողպատե խողովակ ∅32x3մմ</t>
  </si>
  <si>
    <t>Պողպատե խողովակ ∅25x3մմ</t>
  </si>
  <si>
    <t>E22-383</t>
  </si>
  <si>
    <t>Ցնցուղային հանգույցների մոնտաժում</t>
  </si>
  <si>
    <t xml:space="preserve">Ցնցուղային հանգույցներ
</t>
  </si>
  <si>
    <t>Դատարկման  հանգույցների մոնտաժում</t>
  </si>
  <si>
    <t xml:space="preserve">Դատարկման  հանգույցներ
</t>
  </si>
  <si>
    <t>պողպատե ձևավոր մասերի տեղադրում</t>
  </si>
  <si>
    <t xml:space="preserve">պողպատե ձևավոր մասեր
</t>
  </si>
  <si>
    <t>E16-220</t>
  </si>
  <si>
    <t>Համակարգի փորձարկում</t>
  </si>
  <si>
    <t>22</t>
  </si>
  <si>
    <t>²ëý³ÉïÇ ß»ñïÇ ù³Ý¹áõÙ</t>
  </si>
  <si>
    <t>Ավազե բարձիկ խողովակների համար</t>
  </si>
  <si>
    <r>
      <rPr>
        <sz val="9"/>
        <rFont val="Arial AM"/>
        <family val="2"/>
      </rPr>
      <t>Ê×Ç ÉÇóù ³ëý³ÉïÇ ß»ñïÇ ï³Ïª 100 ÙÙ ß»ñïáí</t>
    </r>
    <r>
      <rPr>
        <sz val="9"/>
        <rFont val="Sylfaen"/>
        <family val="1"/>
        <charset val="204"/>
      </rPr>
      <t xml:space="preserve">
</t>
    </r>
  </si>
  <si>
    <t xml:space="preserve">²ëý³ÉïÇ Çñ³Ï³Ý³óáõÙª 50 ÙÙ ß»ñïáí
</t>
  </si>
  <si>
    <t>Փականի  մոնտաժում Dy48, P=1.0 Պա</t>
  </si>
  <si>
    <t xml:space="preserve">Պողպատե փական  Dy48,   
</t>
  </si>
  <si>
    <t>Փականի   մոնտաժում Dy32, P=1.0 Պա</t>
  </si>
  <si>
    <t xml:space="preserve">Պողպատե փական    Dy32
</t>
  </si>
  <si>
    <t>Փականի մոնտաժում Dy25, P=1.0 Պա</t>
  </si>
  <si>
    <t xml:space="preserve">Պողպատե փական  Dy25  
</t>
  </si>
  <si>
    <t>Պոմպ</t>
  </si>
  <si>
    <t xml:space="preserve">Պոմպ
</t>
  </si>
  <si>
    <t>Պողպատե խողովակների և ձևավոր մասերի յուղաներկում</t>
  </si>
  <si>
    <t>Արտաքին լուսավորություն</t>
  </si>
  <si>
    <r>
      <t>ÜÛáõÃ»ñÇ ÙÇ³íáñÇ ³ñÅ»ùÁ (¶</t>
    </r>
    <r>
      <rPr>
        <vertAlign val="subscript"/>
        <sz val="8"/>
        <rFont val="Arial LatArm"/>
        <family val="2"/>
      </rPr>
      <t>ïñ³Ýëåáñï</t>
    </r>
    <r>
      <rPr>
        <sz val="8"/>
        <rFont val="Arial LatArm"/>
        <family val="2"/>
      </rPr>
      <t>)</t>
    </r>
  </si>
  <si>
    <t>E1-965</t>
  </si>
  <si>
    <t>80-7</t>
  </si>
  <si>
    <t>E1-969</t>
  </si>
  <si>
    <t>Գրունտի ետլիցք</t>
  </si>
  <si>
    <t>Ավելնորդ գրունտի փռում տեղում</t>
  </si>
  <si>
    <t xml:space="preserve">Խճի նախապատրաստական շերտ՝ 100 մմ
</t>
  </si>
  <si>
    <t>E33-764</t>
  </si>
  <si>
    <t>Բետոն B15</t>
  </si>
  <si>
    <t>254-1</t>
  </si>
  <si>
    <t>E33-401</t>
  </si>
  <si>
    <t>E6-83</t>
  </si>
  <si>
    <t xml:space="preserve">Պողպատե թիթեղ՝ 250x250x6
</t>
  </si>
  <si>
    <t>9-7</t>
  </si>
  <si>
    <t xml:space="preserve">Պողպատե թիթեղ՝ 250x250x6, </t>
  </si>
  <si>
    <t>Ц8-609-1</t>
  </si>
  <si>
    <t xml:space="preserve">ԼԵԴ լուսատու </t>
  </si>
  <si>
    <t>E33-471</t>
  </si>
  <si>
    <t xml:space="preserve">Ø³ÉáõË ìì¶ 4x10 ÙÙ2
</t>
  </si>
  <si>
    <t xml:space="preserve">Ø³ÉáõË ìì¶ 4x10 ÙÙ2
</t>
  </si>
  <si>
    <t xml:space="preserve">¾É.ë¨»éáÕ Ù»ï³Õ³×áå³Ýª ö6 ÙÙ
</t>
  </si>
  <si>
    <t xml:space="preserve">¾É.ë¨»éáÕ Ù»ï³Õ³×áå³Ýª ö6 ÙÙ
</t>
  </si>
  <si>
    <t>Ц8-149-1</t>
  </si>
  <si>
    <t xml:space="preserve">Èáõë³ïáõÝ»ñÇ ÉÇóù³íáñáõÙ 2x2.5 ÙÙ Ñ³Õáñ¹³É³ñáí
</t>
  </si>
  <si>
    <t>ПВ 2х2,5մմ2/ հաղորդալար</t>
  </si>
  <si>
    <t>C124-3</t>
  </si>
  <si>
    <t xml:space="preserve">È³ÛÝ³Ï óóÇÏáí
</t>
  </si>
  <si>
    <t xml:space="preserve">Լայնակ </t>
  </si>
  <si>
    <t>E15-613</t>
  </si>
  <si>
    <t>Հենասյան ներկում 2 շերտ</t>
  </si>
  <si>
    <t>164-7</t>
  </si>
  <si>
    <t>ներկեր</t>
  </si>
  <si>
    <t>C124-11</t>
  </si>
  <si>
    <t>Ø»ÏáõëÇãÝ»ñª îü20-01</t>
  </si>
  <si>
    <t xml:space="preserve">Ø»ÏáõëÇãÝ»ñª îü20-01
</t>
  </si>
  <si>
    <t>Ц8-472-8</t>
  </si>
  <si>
    <t xml:space="preserve">Èáõë³ïáõÝ»ñÇ ½»ñáÛ³óáõÙª 2x2.5 ÙÙ
</t>
  </si>
  <si>
    <t>Գրունտի հետլիցք</t>
  </si>
  <si>
    <t>ÐÇÙù»ñÇ µ»ïáÝ³óáõÙ B15 µ»ïáÝáí</t>
  </si>
  <si>
    <t>öáëáñ³ÏÝ»ñÇ քանդում</t>
  </si>
  <si>
    <t>E1-968</t>
  </si>
  <si>
    <t xml:space="preserve">Öáå³ÝÇ ë»ÕÙ³Ï
</t>
  </si>
  <si>
    <t>Öáå³ÝÇ ë»ÕÙ³Ï</t>
  </si>
  <si>
    <t xml:space="preserve">Ø³ÉáõËÇ Í³Ûñ»ñÇ ³Ùñ³ÏóáõÙ
</t>
  </si>
  <si>
    <t>Ц8-153-14</t>
  </si>
  <si>
    <t xml:space="preserve">Հենասյուն äáÕå. áõÕÕ. ËáÕ. 100x100x4ÙÙ
</t>
  </si>
  <si>
    <t xml:space="preserve">äáÕå. áõÕÕ. ËáÕ. 100x100x4ÙÙ
</t>
  </si>
  <si>
    <t xml:space="preserve">ամրան A1 14մմ
</t>
  </si>
  <si>
    <t>ամրան A1 14մմ</t>
  </si>
  <si>
    <t>äáÕå. ï³ß. Ñ»Í. N10, É=0.3Ù</t>
  </si>
  <si>
    <t>¸»Ïáñ³ïÇí Éáõë³ïáõ ³ñï³ùÇÝ</t>
  </si>
  <si>
    <t>Ոռոգման ցանց</t>
  </si>
  <si>
    <t>50x25x2մմ պողպատե խողովակներ</t>
  </si>
  <si>
    <t>60x60x3մմ պողպատե խողովակներ</t>
  </si>
  <si>
    <t>30x30x3մմ պողպատե խողովակներ</t>
  </si>
  <si>
    <t>60x40x2մմ պողպատե խողովակներ</t>
  </si>
  <si>
    <t>Ð³Ù³ÛÝù³å»ï³ñ³ÝÇ ÏáÕ³ÛÇÝ ³ëý/բ»ïáÝ» ë³Éí³ÍùÝ»ñÇ Ù³ëÝ³ÏÇ ù³Ý¹áõÙ 50մ2</t>
  </si>
  <si>
    <t>Øß³ÏáõÛÃÇ ï³Ý ÏáÕ³ÛÇÝ բ»ïáÝ» ë³Éí³ÍùÝ»ñÇ Ù³ëÝ³ÏÇ ù³Ý¹áõÙ 50մ2</t>
  </si>
  <si>
    <t>ÐÇÝ ³/բ ù³Ý¹áõÙ ß»ñï»ñÇ Ñ»ï, åáõñ³ÏÇ É³ÛÝ³óÙ³Ý Ýå³ï³Ïáí 96 մ2</t>
  </si>
  <si>
    <t xml:space="preserve">âáñ ó/³í. Ë³ñÝáõñ¹Ç ÉÇóù ïáÙ»ïÇ ï³Ïª 1/4 Ñ³ñ³բ»ñáõÃÛ³Ùբ, 50 ÙÙ
</t>
  </si>
  <si>
    <t xml:space="preserve">îáÙ»ïÇ Çñ³Ï³Ý³óáõÙª 60 ÙÙ Ñ³ëïáõÃÛ³Ùբ
</t>
  </si>
  <si>
    <t xml:space="preserve">Ê×Ç ÉÇóù ß»Ýù»ñÇ ë³Éí³ÍùÝ»ñÇ ³/բ Í³ÍÏáõÛÃÇ ï³Ïª 50 ÙÙ Ñ³ëïáõÃ.
</t>
  </si>
  <si>
    <t xml:space="preserve">Þ»Ýù»ñÇ ë³Éí³ÍùÝ»ñÇ Çñ³Ï³Ý³óáõÙ ³/բ»ïáÝÇóª 50 ÙÙ Ñ³ëïáõÃ
</t>
  </si>
  <si>
    <t xml:space="preserve">Ê×Ç ÉÇóù »½ñ³ù³ñ»ñÇ ÏáÕùÇ ³/բ Í³ÍÏáõÛÃÇ ï³Ïª 50 ÙÙ Ñ³ëïáõÃ.
</t>
  </si>
  <si>
    <t>º½ñ³ù³ñ»ñÇ ÏáÕù»ñÇ ³/բ Í³ÍÏáõÛÃÇ Çñ³Ï³Ý³óáõÙª 50 ÙÙ Ñ³ëïáõÃ</t>
  </si>
  <si>
    <t>²í»Éáñ¹ ·ñáõÝïÇ բ³ñÓáõÙ և ï»Õ³÷áËáõÙ</t>
  </si>
  <si>
    <r>
      <t>¶</t>
    </r>
    <r>
      <rPr>
        <vertAlign val="subscript"/>
        <sz val="10"/>
        <rFont val="Arial LatArm"/>
        <family val="2"/>
      </rPr>
      <t>ïñ³Ýëåáñï</t>
    </r>
    <r>
      <rPr>
        <b/>
        <sz val="10"/>
        <rFont val="Arial LatArm"/>
        <family val="2"/>
      </rPr>
      <t xml:space="preserve"> =</t>
    </r>
  </si>
  <si>
    <t xml:space="preserve">Ê×Ç ïá÷³ÝáõÙ ïáÙ»ïÇó Ñ³ï³ÏÇ ï³Ïª 100 ÙÙ
</t>
  </si>
  <si>
    <t xml:space="preserve">î³ñ³ÍùáõÙ ¹»Ïáñ³ïÇí Í³é»ñÇ ïÝÏÇÝ»ñÇ ïÝÏáõÙ
</t>
  </si>
  <si>
    <t>äáÕå. ï³ß. Ñ»Í. N10,  արժեքը</t>
  </si>
  <si>
    <t>Փայտե երեսապատում ï³Ëï³ÏÝ»ñª 90x600x50 ÙÙ,</t>
  </si>
  <si>
    <t>ԿԱՌՈՒՑØԱՆ ²ÞÊ²î²ÜøÜºð</t>
  </si>
  <si>
    <t>ԱԱՀ</t>
  </si>
  <si>
    <t>ԾԱՎԱԼԱԹԵՐԹ ՆԱԽԱՀԱՇԻՎ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</si>
</sst>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;;;"/>
    <numFmt numFmtId="166" formatCode="0.0"/>
    <numFmt numFmtId="167" formatCode="0.0000"/>
    <numFmt numFmtId="168" formatCode="_-* #,##0.00_р_._-;\-* #,##0.00_р_._-;_-* &quot;-&quot;??_р_._-;_-@_-"/>
  </numFmts>
  <fonts count="46">
    <font>
      <sz val="10"/>
      <name val="Arial"/>
    </font>
    <font>
      <sz val="10"/>
      <name val="Arial"/>
      <family val="2"/>
    </font>
    <font>
      <sz val="9"/>
      <name val="Arial Armenian"/>
      <family val="2"/>
    </font>
    <font>
      <b/>
      <sz val="9"/>
      <name val="Arial Armenian"/>
      <family val="2"/>
    </font>
    <font>
      <sz val="10"/>
      <name val="Arial Armenian"/>
      <family val="2"/>
    </font>
    <font>
      <sz val="8"/>
      <name val="Sylfaen"/>
      <family val="1"/>
      <charset val="204"/>
    </font>
    <font>
      <sz val="10"/>
      <name val="Sylfaen"/>
      <family val="1"/>
      <charset val="204"/>
    </font>
    <font>
      <sz val="9"/>
      <name val="Sylfaen"/>
      <family val="1"/>
      <charset val="204"/>
    </font>
    <font>
      <b/>
      <sz val="8"/>
      <name val="Sylfaen"/>
      <family val="1"/>
      <charset val="204"/>
    </font>
    <font>
      <sz val="10"/>
      <name val="Arial"/>
      <family val="2"/>
    </font>
    <font>
      <sz val="10"/>
      <name val="Arial LatArm"/>
      <family val="2"/>
    </font>
    <font>
      <b/>
      <sz val="9"/>
      <name val="Arial LatArm"/>
      <family val="2"/>
    </font>
    <font>
      <b/>
      <sz val="10"/>
      <name val="Arial LatArm"/>
      <family val="2"/>
    </font>
    <font>
      <b/>
      <sz val="12"/>
      <name val="Arial LatArm"/>
      <family val="2"/>
    </font>
    <font>
      <b/>
      <sz val="11"/>
      <name val="Arial LatArm"/>
      <family val="2"/>
    </font>
    <font>
      <sz val="8"/>
      <name val="Arial LatArm"/>
      <family val="2"/>
    </font>
    <font>
      <sz val="9"/>
      <name val="Arial LatArm"/>
      <family val="2"/>
    </font>
    <font>
      <sz val="10"/>
      <name val="Arial"/>
      <family val="2"/>
    </font>
    <font>
      <sz val="9"/>
      <name val="Arial AM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Armeni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0"/>
      <name val="Arial LatArm"/>
      <family val="2"/>
    </font>
    <font>
      <i/>
      <sz val="10"/>
      <name val="Arial LatArm"/>
      <family val="2"/>
    </font>
    <font>
      <i/>
      <sz val="9"/>
      <name val="Arial LatArm"/>
      <family val="2"/>
    </font>
    <font>
      <b/>
      <i/>
      <sz val="9"/>
      <name val="Arial LatArm"/>
      <family val="2"/>
    </font>
    <font>
      <b/>
      <sz val="8"/>
      <name val="Arial LatArm"/>
      <family val="2"/>
    </font>
    <font>
      <vertAlign val="subscript"/>
      <sz val="8"/>
      <name val="Arial LatArm"/>
      <family val="2"/>
    </font>
    <font>
      <vertAlign val="subscript"/>
      <sz val="10"/>
      <name val="Arial LatArm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9" fillId="0" borderId="0"/>
    <xf numFmtId="0" fontId="4" fillId="0" borderId="0"/>
    <xf numFmtId="0" fontId="17" fillId="0" borderId="0"/>
    <xf numFmtId="0" fontId="1" fillId="0" borderId="0"/>
    <xf numFmtId="0" fontId="1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168" fontId="21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21" fillId="0" borderId="0"/>
    <xf numFmtId="0" fontId="4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9" fontId="1" fillId="0" borderId="0" applyFont="0" applyFill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2" fillId="7" borderId="63" applyNumberFormat="0" applyAlignment="0" applyProtection="0"/>
    <xf numFmtId="0" fontId="23" fillId="20" borderId="64" applyNumberFormat="0" applyAlignment="0" applyProtection="0"/>
    <xf numFmtId="0" fontId="24" fillId="20" borderId="63" applyNumberFormat="0" applyAlignment="0" applyProtection="0"/>
    <xf numFmtId="0" fontId="25" fillId="0" borderId="65" applyNumberFormat="0" applyFill="0" applyAlignment="0" applyProtection="0"/>
    <xf numFmtId="0" fontId="26" fillId="0" borderId="66" applyNumberFormat="0" applyFill="0" applyAlignment="0" applyProtection="0"/>
    <xf numFmtId="0" fontId="27" fillId="0" borderId="67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68" applyNumberFormat="0" applyFill="0" applyAlignment="0" applyProtection="0"/>
    <xf numFmtId="0" fontId="29" fillId="21" borderId="69" applyNumberFormat="0" applyAlignment="0" applyProtection="0"/>
    <xf numFmtId="0" fontId="30" fillId="0" borderId="0" applyNumberFormat="0" applyFill="0" applyBorder="0" applyAlignment="0" applyProtection="0"/>
    <xf numFmtId="0" fontId="31" fillId="22" borderId="0" applyNumberFormat="0" applyBorder="0" applyAlignment="0" applyProtection="0"/>
    <xf numFmtId="0" fontId="21" fillId="0" borderId="0"/>
    <xf numFmtId="0" fontId="21" fillId="0" borderId="0"/>
    <xf numFmtId="0" fontId="32" fillId="0" borderId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35" fillId="23" borderId="70" applyNumberFormat="0" applyFont="0" applyAlignment="0" applyProtection="0"/>
    <xf numFmtId="0" fontId="36" fillId="0" borderId="71" applyNumberFormat="0" applyFill="0" applyAlignment="0" applyProtection="0"/>
    <xf numFmtId="0" fontId="37" fillId="0" borderId="0" applyNumberFormat="0" applyFill="0" applyBorder="0" applyAlignment="0" applyProtection="0"/>
    <xf numFmtId="0" fontId="38" fillId="4" borderId="0" applyNumberFormat="0" applyBorder="0" applyAlignment="0" applyProtection="0"/>
  </cellStyleXfs>
  <cellXfs count="821">
    <xf numFmtId="0" fontId="0" fillId="0" borderId="0" xfId="0"/>
    <xf numFmtId="2" fontId="15" fillId="0" borderId="0" xfId="0" applyNumberFormat="1" applyFont="1" applyFill="1" applyBorder="1" applyAlignment="1">
      <alignment vertical="top"/>
    </xf>
    <xf numFmtId="0" fontId="16" fillId="0" borderId="0" xfId="0" applyNumberFormat="1" applyFont="1" applyFill="1" applyBorder="1" applyAlignment="1">
      <alignment horizontal="center" vertical="center" shrinkToFit="1"/>
    </xf>
    <xf numFmtId="2" fontId="16" fillId="0" borderId="0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 shrinkToFit="1"/>
    </xf>
    <xf numFmtId="2" fontId="16" fillId="0" borderId="0" xfId="0" applyNumberFormat="1" applyFont="1" applyFill="1" applyBorder="1" applyAlignment="1">
      <alignment vertical="top"/>
    </xf>
    <xf numFmtId="2" fontId="16" fillId="0" borderId="0" xfId="0" applyNumberFormat="1" applyFont="1" applyFill="1" applyBorder="1" applyAlignment="1">
      <alignment vertical="top" shrinkToFit="1"/>
    </xf>
    <xf numFmtId="0" fontId="16" fillId="0" borderId="40" xfId="4" applyNumberFormat="1" applyFont="1" applyFill="1" applyBorder="1" applyAlignment="1">
      <alignment horizontal="center" vertical="top" shrinkToFit="1"/>
    </xf>
    <xf numFmtId="2" fontId="16" fillId="0" borderId="0" xfId="4" applyNumberFormat="1" applyFont="1" applyFill="1" applyAlignment="1">
      <alignment vertical="top"/>
    </xf>
    <xf numFmtId="2" fontId="16" fillId="0" borderId="0" xfId="4" applyNumberFormat="1" applyFont="1" applyFill="1" applyAlignment="1">
      <alignment vertical="top" shrinkToFit="1"/>
    </xf>
    <xf numFmtId="2" fontId="16" fillId="0" borderId="23" xfId="4" applyNumberFormat="1" applyFont="1" applyFill="1" applyBorder="1" applyAlignment="1">
      <alignment vertical="top"/>
    </xf>
    <xf numFmtId="2" fontId="16" fillId="0" borderId="4" xfId="4" applyNumberFormat="1" applyFont="1" applyFill="1" applyBorder="1" applyAlignment="1">
      <alignment vertical="top" shrinkToFit="1"/>
    </xf>
    <xf numFmtId="2" fontId="16" fillId="0" borderId="29" xfId="4" applyNumberFormat="1" applyFont="1" applyFill="1" applyBorder="1" applyAlignment="1">
      <alignment vertical="top"/>
    </xf>
    <xf numFmtId="2" fontId="15" fillId="0" borderId="3" xfId="4" applyNumberFormat="1" applyFont="1" applyFill="1" applyBorder="1" applyAlignment="1">
      <alignment vertical="top"/>
    </xf>
    <xf numFmtId="0" fontId="16" fillId="0" borderId="3" xfId="4" applyNumberFormat="1" applyFont="1" applyFill="1" applyBorder="1" applyAlignment="1">
      <alignment horizontal="center" vertical="center" shrinkToFit="1"/>
    </xf>
    <xf numFmtId="2" fontId="16" fillId="0" borderId="3" xfId="4" applyNumberFormat="1" applyFont="1" applyFill="1" applyBorder="1" applyAlignment="1">
      <alignment horizontal="center" vertical="center"/>
    </xf>
    <xf numFmtId="2" fontId="16" fillId="0" borderId="3" xfId="4" applyNumberFormat="1" applyFont="1" applyFill="1" applyBorder="1" applyAlignment="1">
      <alignment vertical="top"/>
    </xf>
    <xf numFmtId="2" fontId="16" fillId="0" borderId="22" xfId="4" applyNumberFormat="1" applyFont="1" applyFill="1" applyBorder="1" applyAlignment="1">
      <alignment vertical="top" shrinkToFit="1"/>
    </xf>
    <xf numFmtId="2" fontId="16" fillId="0" borderId="2" xfId="4" applyNumberFormat="1" applyFont="1" applyFill="1" applyBorder="1" applyAlignment="1">
      <alignment horizontal="center" vertical="center" shrinkToFit="1"/>
    </xf>
    <xf numFmtId="0" fontId="16" fillId="0" borderId="0" xfId="4" applyNumberFormat="1" applyFont="1" applyFill="1" applyAlignment="1">
      <alignment vertical="top"/>
    </xf>
    <xf numFmtId="165" fontId="16" fillId="0" borderId="0" xfId="4" applyNumberFormat="1" applyFont="1" applyFill="1" applyAlignment="1">
      <alignment vertical="top"/>
    </xf>
    <xf numFmtId="0" fontId="16" fillId="0" borderId="20" xfId="4" applyNumberFormat="1" applyFont="1" applyFill="1" applyBorder="1" applyAlignment="1">
      <alignment horizontal="center" vertical="top"/>
    </xf>
    <xf numFmtId="2" fontId="16" fillId="0" borderId="8" xfId="4" applyNumberFormat="1" applyFont="1" applyFill="1" applyBorder="1" applyAlignment="1">
      <alignment vertical="top"/>
    </xf>
    <xf numFmtId="2" fontId="16" fillId="0" borderId="9" xfId="4" applyNumberFormat="1" applyFont="1" applyFill="1" applyBorder="1" applyAlignment="1">
      <alignment vertical="top"/>
    </xf>
    <xf numFmtId="2" fontId="15" fillId="0" borderId="0" xfId="4" applyNumberFormat="1" applyFont="1" applyFill="1" applyAlignment="1">
      <alignment vertical="top"/>
    </xf>
    <xf numFmtId="0" fontId="16" fillId="0" borderId="0" xfId="4" applyNumberFormat="1" applyFont="1" applyFill="1" applyAlignment="1">
      <alignment horizontal="center" vertical="center" shrinkToFit="1"/>
    </xf>
    <xf numFmtId="2" fontId="16" fillId="0" borderId="0" xfId="4" applyNumberFormat="1" applyFont="1" applyFill="1" applyAlignment="1">
      <alignment horizontal="center" vertical="center"/>
    </xf>
    <xf numFmtId="2" fontId="16" fillId="0" borderId="9" xfId="4" applyNumberFormat="1" applyFont="1" applyFill="1" applyBorder="1" applyAlignment="1">
      <alignment vertical="top" shrinkToFit="1"/>
    </xf>
    <xf numFmtId="2" fontId="16" fillId="0" borderId="18" xfId="4" applyNumberFormat="1" applyFont="1" applyFill="1" applyBorder="1" applyAlignment="1">
      <alignment vertical="center" shrinkToFit="1"/>
    </xf>
    <xf numFmtId="0" fontId="16" fillId="0" borderId="21" xfId="4" applyNumberFormat="1" applyFont="1" applyFill="1" applyBorder="1" applyAlignment="1">
      <alignment horizontal="center" vertical="top"/>
    </xf>
    <xf numFmtId="0" fontId="16" fillId="0" borderId="1" xfId="4" applyNumberFormat="1" applyFont="1" applyFill="1" applyBorder="1" applyAlignment="1">
      <alignment vertical="top"/>
    </xf>
    <xf numFmtId="0" fontId="10" fillId="0" borderId="14" xfId="4" applyNumberFormat="1" applyFont="1" applyFill="1" applyBorder="1" applyAlignment="1">
      <alignment vertical="top"/>
    </xf>
    <xf numFmtId="0" fontId="16" fillId="0" borderId="1" xfId="4" applyNumberFormat="1" applyFont="1" applyFill="1" applyBorder="1" applyAlignment="1">
      <alignment horizontal="center" vertical="center"/>
    </xf>
    <xf numFmtId="2" fontId="16" fillId="0" borderId="14" xfId="4" applyNumberFormat="1" applyFont="1" applyFill="1" applyBorder="1" applyAlignment="1">
      <alignment horizontal="center" vertical="center" shrinkToFit="1"/>
    </xf>
    <xf numFmtId="2" fontId="16" fillId="0" borderId="1" xfId="4" applyNumberFormat="1" applyFont="1" applyFill="1" applyBorder="1" applyAlignment="1">
      <alignment vertical="top"/>
    </xf>
    <xf numFmtId="2" fontId="16" fillId="0" borderId="1" xfId="4" applyNumberFormat="1" applyFont="1" applyFill="1" applyBorder="1" applyAlignment="1">
      <alignment vertical="top" shrinkToFit="1"/>
    </xf>
    <xf numFmtId="2" fontId="16" fillId="0" borderId="10" xfId="4" applyNumberFormat="1" applyFont="1" applyFill="1" applyBorder="1" applyAlignment="1">
      <alignment vertical="top"/>
    </xf>
    <xf numFmtId="2" fontId="16" fillId="0" borderId="11" xfId="4" applyNumberFormat="1" applyFont="1" applyFill="1" applyBorder="1" applyAlignment="1">
      <alignment vertical="top"/>
    </xf>
    <xf numFmtId="2" fontId="15" fillId="0" borderId="0" xfId="4" applyNumberFormat="1" applyFont="1" applyFill="1" applyBorder="1" applyAlignment="1">
      <alignment vertical="top"/>
    </xf>
    <xf numFmtId="0" fontId="16" fillId="0" borderId="0" xfId="4" applyNumberFormat="1" applyFont="1" applyFill="1" applyBorder="1" applyAlignment="1">
      <alignment horizontal="center" vertical="center" shrinkToFit="1"/>
    </xf>
    <xf numFmtId="2" fontId="16" fillId="0" borderId="0" xfId="4" applyNumberFormat="1" applyFont="1" applyFill="1" applyBorder="1" applyAlignment="1">
      <alignment horizontal="center" vertical="center"/>
    </xf>
    <xf numFmtId="2" fontId="16" fillId="0" borderId="0" xfId="4" applyNumberFormat="1" applyFont="1" applyFill="1" applyBorder="1" applyAlignment="1">
      <alignment vertical="top"/>
    </xf>
    <xf numFmtId="2" fontId="16" fillId="0" borderId="0" xfId="4" applyNumberFormat="1" applyFont="1" applyFill="1" applyBorder="1" applyAlignment="1">
      <alignment vertical="top" shrinkToFit="1"/>
    </xf>
    <xf numFmtId="0" fontId="16" fillId="0" borderId="4" xfId="4" applyNumberFormat="1" applyFont="1" applyFill="1" applyBorder="1" applyAlignment="1">
      <alignment horizontal="center" vertical="center"/>
    </xf>
    <xf numFmtId="2" fontId="16" fillId="0" borderId="4" xfId="4" applyNumberFormat="1" applyFont="1" applyFill="1" applyBorder="1" applyAlignment="1">
      <alignment vertical="top"/>
    </xf>
    <xf numFmtId="0" fontId="16" fillId="0" borderId="0" xfId="4" applyNumberFormat="1" applyFont="1" applyFill="1" applyBorder="1" applyAlignment="1">
      <alignment horizontal="center" vertical="center"/>
    </xf>
    <xf numFmtId="2" fontId="15" fillId="0" borderId="1" xfId="4" applyNumberFormat="1" applyFont="1" applyFill="1" applyBorder="1" applyAlignment="1">
      <alignment vertical="top"/>
    </xf>
    <xf numFmtId="0" fontId="16" fillId="0" borderId="1" xfId="4" applyNumberFormat="1" applyFont="1" applyFill="1" applyBorder="1" applyAlignment="1">
      <alignment horizontal="center" vertical="center" shrinkToFit="1"/>
    </xf>
    <xf numFmtId="2" fontId="16" fillId="0" borderId="11" xfId="4" applyNumberFormat="1" applyFont="1" applyFill="1" applyBorder="1" applyAlignment="1">
      <alignment vertical="top" shrinkToFit="1"/>
    </xf>
    <xf numFmtId="2" fontId="16" fillId="0" borderId="49" xfId="4" applyNumberFormat="1" applyFont="1" applyFill="1" applyBorder="1" applyAlignment="1">
      <alignment vertical="center" shrinkToFit="1"/>
    </xf>
    <xf numFmtId="2" fontId="16" fillId="0" borderId="1" xfId="4" applyNumberFormat="1" applyFont="1" applyFill="1" applyBorder="1" applyAlignment="1">
      <alignment horizontal="center" vertical="center"/>
    </xf>
    <xf numFmtId="0" fontId="16" fillId="0" borderId="20" xfId="4" applyNumberFormat="1" applyFont="1" applyFill="1" applyBorder="1" applyAlignment="1">
      <alignment horizontal="center" vertical="top" shrinkToFit="1"/>
    </xf>
    <xf numFmtId="49" fontId="16" fillId="0" borderId="0" xfId="4" applyNumberFormat="1" applyFont="1" applyFill="1" applyAlignment="1">
      <alignment horizontal="center" vertical="top" wrapText="1"/>
    </xf>
    <xf numFmtId="0" fontId="16" fillId="0" borderId="0" xfId="4" applyNumberFormat="1" applyFont="1" applyFill="1" applyAlignment="1">
      <alignment horizontal="center" vertical="center"/>
    </xf>
    <xf numFmtId="2" fontId="15" fillId="0" borderId="4" xfId="4" applyNumberFormat="1" applyFont="1" applyFill="1" applyBorder="1" applyAlignment="1">
      <alignment vertical="top"/>
    </xf>
    <xf numFmtId="0" fontId="16" fillId="0" borderId="4" xfId="4" applyNumberFormat="1" applyFont="1" applyFill="1" applyBorder="1" applyAlignment="1">
      <alignment horizontal="center" vertical="center" shrinkToFit="1"/>
    </xf>
    <xf numFmtId="2" fontId="16" fillId="0" borderId="4" xfId="4" applyNumberFormat="1" applyFont="1" applyFill="1" applyBorder="1" applyAlignment="1">
      <alignment horizontal="center" vertical="center"/>
    </xf>
    <xf numFmtId="2" fontId="16" fillId="0" borderId="4" xfId="4" applyNumberFormat="1" applyFont="1" applyFill="1" applyBorder="1" applyAlignment="1">
      <alignment horizontal="center" vertical="center" shrinkToFit="1"/>
    </xf>
    <xf numFmtId="0" fontId="16" fillId="0" borderId="28" xfId="4" applyNumberFormat="1" applyFont="1" applyFill="1" applyBorder="1" applyAlignment="1">
      <alignment horizontal="center" vertical="center" shrinkToFit="1"/>
    </xf>
    <xf numFmtId="2" fontId="16" fillId="0" borderId="28" xfId="4" applyNumberFormat="1" applyFont="1" applyFill="1" applyBorder="1" applyAlignment="1">
      <alignment horizontal="center" vertical="top" shrinkToFit="1"/>
    </xf>
    <xf numFmtId="2" fontId="16" fillId="0" borderId="28" xfId="4" applyNumberFormat="1" applyFont="1" applyFill="1" applyBorder="1" applyAlignment="1">
      <alignment vertical="top" shrinkToFit="1"/>
    </xf>
    <xf numFmtId="49" fontId="15" fillId="0" borderId="54" xfId="4" applyNumberFormat="1" applyFont="1" applyFill="1" applyBorder="1" applyAlignment="1">
      <alignment horizontal="left" vertical="top" wrapText="1"/>
    </xf>
    <xf numFmtId="0" fontId="16" fillId="0" borderId="55" xfId="4" applyNumberFormat="1" applyFont="1" applyFill="1" applyBorder="1" applyAlignment="1">
      <alignment horizontal="center" vertical="center" shrinkToFit="1"/>
    </xf>
    <xf numFmtId="2" fontId="16" fillId="0" borderId="55" xfId="4" applyNumberFormat="1" applyFont="1" applyFill="1" applyBorder="1" applyAlignment="1">
      <alignment horizontal="center" vertical="top" shrinkToFit="1"/>
    </xf>
    <xf numFmtId="2" fontId="16" fillId="0" borderId="55" xfId="4" applyNumberFormat="1" applyFont="1" applyFill="1" applyBorder="1" applyAlignment="1">
      <alignment vertical="top" shrinkToFit="1"/>
    </xf>
    <xf numFmtId="0" fontId="16" fillId="0" borderId="0" xfId="4" applyNumberFormat="1" applyFont="1" applyFill="1" applyBorder="1" applyAlignment="1">
      <alignment vertical="top"/>
    </xf>
    <xf numFmtId="49" fontId="15" fillId="0" borderId="51" xfId="4" applyNumberFormat="1" applyFont="1" applyFill="1" applyBorder="1" applyAlignment="1">
      <alignment horizontal="left" vertical="top" wrapText="1"/>
    </xf>
    <xf numFmtId="0" fontId="16" fillId="0" borderId="52" xfId="4" applyNumberFormat="1" applyFont="1" applyFill="1" applyBorder="1" applyAlignment="1">
      <alignment horizontal="center" vertical="center" shrinkToFit="1"/>
    </xf>
    <xf numFmtId="2" fontId="16" fillId="0" borderId="52" xfId="4" applyNumberFormat="1" applyFont="1" applyFill="1" applyBorder="1" applyAlignment="1">
      <alignment horizontal="center" vertical="top" shrinkToFit="1"/>
    </xf>
    <xf numFmtId="2" fontId="16" fillId="0" borderId="52" xfId="4" applyNumberFormat="1" applyFont="1" applyFill="1" applyBorder="1" applyAlignment="1">
      <alignment vertical="top" shrinkToFit="1"/>
    </xf>
    <xf numFmtId="2" fontId="16" fillId="0" borderId="1" xfId="4" applyNumberFormat="1" applyFont="1" applyFill="1" applyBorder="1" applyAlignment="1">
      <alignment horizontal="center" vertical="top"/>
    </xf>
    <xf numFmtId="2" fontId="16" fillId="0" borderId="1" xfId="4" applyNumberFormat="1" applyFont="1" applyFill="1" applyBorder="1" applyAlignment="1">
      <alignment horizontal="center" vertical="top" shrinkToFit="1"/>
    </xf>
    <xf numFmtId="0" fontId="16" fillId="0" borderId="20" xfId="5" applyNumberFormat="1" applyFont="1" applyFill="1" applyBorder="1" applyAlignment="1">
      <alignment horizontal="center" vertical="top" shrinkToFit="1"/>
    </xf>
    <xf numFmtId="0" fontId="16" fillId="0" borderId="0" xfId="5" applyNumberFormat="1" applyFont="1" applyFill="1" applyAlignment="1">
      <alignment horizontal="center" vertical="center"/>
    </xf>
    <xf numFmtId="164" fontId="16" fillId="0" borderId="13" xfId="5" applyNumberFormat="1" applyFont="1" applyFill="1" applyBorder="1" applyAlignment="1">
      <alignment horizontal="center" vertical="center" shrinkToFit="1"/>
    </xf>
    <xf numFmtId="2" fontId="16" fillId="0" borderId="0" xfId="5" applyNumberFormat="1" applyFont="1" applyFill="1" applyAlignment="1">
      <alignment vertical="top"/>
    </xf>
    <xf numFmtId="2" fontId="16" fillId="0" borderId="0" xfId="5" applyNumberFormat="1" applyFont="1" applyFill="1" applyAlignment="1">
      <alignment vertical="top" shrinkToFit="1"/>
    </xf>
    <xf numFmtId="2" fontId="16" fillId="0" borderId="8" xfId="5" applyNumberFormat="1" applyFont="1" applyFill="1" applyBorder="1" applyAlignment="1">
      <alignment vertical="top"/>
    </xf>
    <xf numFmtId="2" fontId="16" fillId="0" borderId="0" xfId="5" applyNumberFormat="1" applyFont="1" applyFill="1" applyBorder="1" applyAlignment="1">
      <alignment vertical="top" shrinkToFit="1"/>
    </xf>
    <xf numFmtId="2" fontId="16" fillId="0" borderId="9" xfId="5" applyNumberFormat="1" applyFont="1" applyFill="1" applyBorder="1" applyAlignment="1">
      <alignment vertical="top"/>
    </xf>
    <xf numFmtId="2" fontId="15" fillId="0" borderId="3" xfId="5" applyNumberFormat="1" applyFont="1" applyFill="1" applyBorder="1" applyAlignment="1">
      <alignment vertical="top"/>
    </xf>
    <xf numFmtId="0" fontId="16" fillId="0" borderId="3" xfId="5" applyNumberFormat="1" applyFont="1" applyFill="1" applyBorder="1" applyAlignment="1">
      <alignment horizontal="center" vertical="center" shrinkToFit="1"/>
    </xf>
    <xf numFmtId="2" fontId="16" fillId="0" borderId="3" xfId="5" applyNumberFormat="1" applyFont="1" applyFill="1" applyBorder="1" applyAlignment="1">
      <alignment horizontal="center" vertical="center"/>
    </xf>
    <xf numFmtId="2" fontId="16" fillId="0" borderId="3" xfId="5" applyNumberFormat="1" applyFont="1" applyFill="1" applyBorder="1" applyAlignment="1">
      <alignment vertical="top"/>
    </xf>
    <xf numFmtId="2" fontId="16" fillId="0" borderId="22" xfId="5" applyNumberFormat="1" applyFont="1" applyFill="1" applyBorder="1" applyAlignment="1">
      <alignment vertical="top" shrinkToFit="1"/>
    </xf>
    <xf numFmtId="2" fontId="16" fillId="0" borderId="2" xfId="5" applyNumberFormat="1" applyFont="1" applyFill="1" applyBorder="1" applyAlignment="1">
      <alignment horizontal="center" vertical="center" shrinkToFit="1"/>
    </xf>
    <xf numFmtId="0" fontId="16" fillId="0" borderId="0" xfId="5" applyNumberFormat="1" applyFont="1" applyFill="1" applyAlignment="1">
      <alignment vertical="top"/>
    </xf>
    <xf numFmtId="165" fontId="16" fillId="0" borderId="0" xfId="5" applyNumberFormat="1" applyFont="1" applyFill="1" applyAlignment="1">
      <alignment vertical="top"/>
    </xf>
    <xf numFmtId="0" fontId="16" fillId="0" borderId="20" xfId="5" applyNumberFormat="1" applyFont="1" applyFill="1" applyBorder="1" applyAlignment="1">
      <alignment horizontal="center" vertical="top"/>
    </xf>
    <xf numFmtId="2" fontId="16" fillId="0" borderId="4" xfId="5" applyNumberFormat="1" applyFont="1" applyFill="1" applyBorder="1" applyAlignment="1">
      <alignment vertical="top" shrinkToFit="1"/>
    </xf>
    <xf numFmtId="2" fontId="15" fillId="0" borderId="0" xfId="5" applyNumberFormat="1" applyFont="1" applyFill="1" applyAlignment="1">
      <alignment vertical="top"/>
    </xf>
    <xf numFmtId="0" fontId="16" fillId="0" borderId="0" xfId="5" applyNumberFormat="1" applyFont="1" applyFill="1" applyAlignment="1">
      <alignment horizontal="center" vertical="center" shrinkToFit="1"/>
    </xf>
    <xf numFmtId="2" fontId="16" fillId="0" borderId="9" xfId="5" applyNumberFormat="1" applyFont="1" applyFill="1" applyBorder="1" applyAlignment="1">
      <alignment vertical="top" shrinkToFit="1"/>
    </xf>
    <xf numFmtId="2" fontId="16" fillId="0" borderId="18" xfId="5" applyNumberFormat="1" applyFont="1" applyFill="1" applyBorder="1" applyAlignment="1">
      <alignment vertical="center" shrinkToFit="1"/>
    </xf>
    <xf numFmtId="0" fontId="16" fillId="0" borderId="21" xfId="5" applyNumberFormat="1" applyFont="1" applyFill="1" applyBorder="1" applyAlignment="1">
      <alignment horizontal="center" vertical="top"/>
    </xf>
    <xf numFmtId="0" fontId="16" fillId="0" borderId="1" xfId="5" applyNumberFormat="1" applyFont="1" applyFill="1" applyBorder="1" applyAlignment="1">
      <alignment vertical="top"/>
    </xf>
    <xf numFmtId="0" fontId="10" fillId="0" borderId="14" xfId="5" applyNumberFormat="1" applyFont="1" applyFill="1" applyBorder="1" applyAlignment="1">
      <alignment vertical="top"/>
    </xf>
    <xf numFmtId="0" fontId="16" fillId="0" borderId="1" xfId="5" applyNumberFormat="1" applyFont="1" applyFill="1" applyBorder="1" applyAlignment="1">
      <alignment horizontal="center" vertical="center"/>
    </xf>
    <xf numFmtId="2" fontId="16" fillId="0" borderId="14" xfId="5" applyNumberFormat="1" applyFont="1" applyFill="1" applyBorder="1" applyAlignment="1">
      <alignment horizontal="center" vertical="center" shrinkToFit="1"/>
    </xf>
    <xf numFmtId="2" fontId="16" fillId="0" borderId="1" xfId="5" applyNumberFormat="1" applyFont="1" applyFill="1" applyBorder="1" applyAlignment="1">
      <alignment vertical="top"/>
    </xf>
    <xf numFmtId="2" fontId="16" fillId="0" borderId="1" xfId="5" applyNumberFormat="1" applyFont="1" applyFill="1" applyBorder="1" applyAlignment="1">
      <alignment vertical="top" shrinkToFit="1"/>
    </xf>
    <xf numFmtId="2" fontId="16" fillId="0" borderId="10" xfId="5" applyNumberFormat="1" applyFont="1" applyFill="1" applyBorder="1" applyAlignment="1">
      <alignment vertical="top"/>
    </xf>
    <xf numFmtId="2" fontId="16" fillId="0" borderId="11" xfId="5" applyNumberFormat="1" applyFont="1" applyFill="1" applyBorder="1" applyAlignment="1">
      <alignment vertical="top"/>
    </xf>
    <xf numFmtId="2" fontId="15" fillId="0" borderId="0" xfId="5" applyNumberFormat="1" applyFont="1" applyFill="1" applyBorder="1" applyAlignment="1">
      <alignment vertical="top"/>
    </xf>
    <xf numFmtId="0" fontId="16" fillId="0" borderId="0" xfId="5" applyNumberFormat="1" applyFont="1" applyFill="1" applyBorder="1" applyAlignment="1">
      <alignment horizontal="center" vertical="center" shrinkToFit="1"/>
    </xf>
    <xf numFmtId="2" fontId="16" fillId="0" borderId="0" xfId="5" applyNumberFormat="1" applyFont="1" applyFill="1" applyBorder="1" applyAlignment="1">
      <alignment horizontal="center" vertical="center"/>
    </xf>
    <xf numFmtId="2" fontId="16" fillId="0" borderId="0" xfId="5" applyNumberFormat="1" applyFont="1" applyFill="1" applyBorder="1" applyAlignment="1">
      <alignment vertical="top"/>
    </xf>
    <xf numFmtId="2" fontId="15" fillId="0" borderId="4" xfId="5" applyNumberFormat="1" applyFont="1" applyFill="1" applyBorder="1" applyAlignment="1">
      <alignment vertical="top"/>
    </xf>
    <xf numFmtId="2" fontId="16" fillId="0" borderId="4" xfId="5" applyNumberFormat="1" applyFont="1" applyFill="1" applyBorder="1" applyAlignment="1">
      <alignment horizontal="center" vertical="center"/>
    </xf>
    <xf numFmtId="2" fontId="16" fillId="0" borderId="4" xfId="5" applyNumberFormat="1" applyFont="1" applyFill="1" applyBorder="1" applyAlignment="1">
      <alignment vertical="top"/>
    </xf>
    <xf numFmtId="2" fontId="16" fillId="0" borderId="29" xfId="5" applyNumberFormat="1" applyFont="1" applyFill="1" applyBorder="1" applyAlignment="1">
      <alignment vertical="top" shrinkToFit="1"/>
    </xf>
    <xf numFmtId="2" fontId="16" fillId="0" borderId="23" xfId="5" applyNumberFormat="1" applyFont="1" applyFill="1" applyBorder="1" applyAlignment="1">
      <alignment vertical="top"/>
    </xf>
    <xf numFmtId="2" fontId="16" fillId="0" borderId="29" xfId="5" applyNumberFormat="1" applyFont="1" applyFill="1" applyBorder="1" applyAlignment="1">
      <alignment vertical="top"/>
    </xf>
    <xf numFmtId="2" fontId="15" fillId="0" borderId="1" xfId="5" applyNumberFormat="1" applyFont="1" applyFill="1" applyBorder="1" applyAlignment="1">
      <alignment vertical="top"/>
    </xf>
    <xf numFmtId="2" fontId="16" fillId="0" borderId="1" xfId="5" applyNumberFormat="1" applyFont="1" applyFill="1" applyBorder="1" applyAlignment="1">
      <alignment horizontal="center" vertical="center"/>
    </xf>
    <xf numFmtId="2" fontId="16" fillId="0" borderId="11" xfId="5" applyNumberFormat="1" applyFont="1" applyFill="1" applyBorder="1" applyAlignment="1">
      <alignment vertical="top" shrinkToFit="1"/>
    </xf>
    <xf numFmtId="2" fontId="16" fillId="0" borderId="49" xfId="5" applyNumberFormat="1" applyFont="1" applyFill="1" applyBorder="1" applyAlignment="1">
      <alignment vertical="center" shrinkToFit="1"/>
    </xf>
    <xf numFmtId="2" fontId="16" fillId="0" borderId="28" xfId="5" applyNumberFormat="1" applyFont="1" applyFill="1" applyBorder="1" applyAlignment="1">
      <alignment horizontal="center" vertical="center" shrinkToFit="1"/>
    </xf>
    <xf numFmtId="2" fontId="16" fillId="0" borderId="28" xfId="5" applyNumberFormat="1" applyFont="1" applyFill="1" applyBorder="1" applyAlignment="1">
      <alignment horizontal="center" vertical="center"/>
    </xf>
    <xf numFmtId="2" fontId="16" fillId="0" borderId="28" xfId="5" applyNumberFormat="1" applyFont="1" applyFill="1" applyBorder="1" applyAlignment="1">
      <alignment vertical="top" shrinkToFit="1"/>
    </xf>
    <xf numFmtId="2" fontId="16" fillId="0" borderId="30" xfId="5" applyNumberFormat="1" applyFont="1" applyFill="1" applyBorder="1" applyAlignment="1">
      <alignment vertical="top" shrinkToFit="1"/>
    </xf>
    <xf numFmtId="2" fontId="16" fillId="0" borderId="35" xfId="5" applyNumberFormat="1" applyFont="1" applyFill="1" applyBorder="1" applyAlignment="1">
      <alignment horizontal="center" vertical="center"/>
    </xf>
    <xf numFmtId="2" fontId="16" fillId="0" borderId="35" xfId="5" applyNumberFormat="1" applyFont="1" applyFill="1" applyBorder="1" applyAlignment="1">
      <alignment vertical="top"/>
    </xf>
    <xf numFmtId="2" fontId="16" fillId="0" borderId="37" xfId="5" applyNumberFormat="1" applyFont="1" applyFill="1" applyBorder="1" applyAlignment="1">
      <alignment vertical="top" shrinkToFit="1"/>
    </xf>
    <xf numFmtId="49" fontId="16" fillId="0" borderId="4" xfId="5" applyNumberFormat="1" applyFont="1" applyFill="1" applyBorder="1" applyAlignment="1">
      <alignment horizontal="center" vertical="top" wrapText="1"/>
    </xf>
    <xf numFmtId="49" fontId="16" fillId="0" borderId="0" xfId="5" applyNumberFormat="1" applyFont="1" applyFill="1" applyBorder="1" applyAlignment="1">
      <alignment horizontal="center" vertical="top" wrapText="1"/>
    </xf>
    <xf numFmtId="49" fontId="16" fillId="0" borderId="0" xfId="5" applyNumberFormat="1" applyFont="1" applyFill="1" applyAlignment="1">
      <alignment horizontal="center" vertical="top" wrapText="1"/>
    </xf>
    <xf numFmtId="0" fontId="10" fillId="0" borderId="0" xfId="0" applyFont="1" applyFill="1" applyAlignment="1"/>
    <xf numFmtId="0" fontId="10" fillId="0" borderId="0" xfId="4" applyFont="1" applyFill="1"/>
    <xf numFmtId="165" fontId="10" fillId="0" borderId="0" xfId="4" applyNumberFormat="1" applyFont="1" applyFill="1"/>
    <xf numFmtId="0" fontId="13" fillId="0" borderId="0" xfId="4" applyFont="1" applyFill="1" applyAlignment="1"/>
    <xf numFmtId="0" fontId="39" fillId="0" borderId="0" xfId="4" applyFont="1" applyFill="1" applyAlignment="1">
      <alignment vertical="center"/>
    </xf>
    <xf numFmtId="0" fontId="40" fillId="0" borderId="0" xfId="4" applyFont="1" applyFill="1" applyAlignment="1">
      <alignment vertical="center"/>
    </xf>
    <xf numFmtId="49" fontId="14" fillId="0" borderId="0" xfId="4" applyNumberFormat="1" applyFont="1" applyFill="1" applyAlignment="1">
      <alignment horizontal="right"/>
    </xf>
    <xf numFmtId="49" fontId="13" fillId="0" borderId="0" xfId="4" applyNumberFormat="1" applyFont="1" applyFill="1" applyAlignment="1"/>
    <xf numFmtId="165" fontId="13" fillId="0" borderId="0" xfId="4" applyNumberFormat="1" applyFont="1" applyFill="1" applyAlignment="1"/>
    <xf numFmtId="0" fontId="10" fillId="0" borderId="0" xfId="4" applyFont="1" applyFill="1" applyAlignment="1"/>
    <xf numFmtId="165" fontId="10" fillId="0" borderId="0" xfId="4" applyNumberFormat="1" applyFont="1" applyFill="1" applyAlignment="1"/>
    <xf numFmtId="0" fontId="40" fillId="0" borderId="0" xfId="4" applyFont="1" applyFill="1" applyAlignment="1">
      <alignment horizontal="right"/>
    </xf>
    <xf numFmtId="0" fontId="10" fillId="0" borderId="0" xfId="4" applyFont="1" applyFill="1" applyAlignment="1">
      <alignment horizontal="left" vertical="center"/>
    </xf>
    <xf numFmtId="14" fontId="12" fillId="0" borderId="0" xfId="4" applyNumberFormat="1" applyFont="1" applyFill="1" applyAlignment="1">
      <alignment horizontal="left"/>
    </xf>
    <xf numFmtId="2" fontId="13" fillId="0" borderId="0" xfId="4" applyNumberFormat="1" applyFont="1" applyFill="1" applyAlignment="1">
      <alignment horizontal="center"/>
    </xf>
    <xf numFmtId="0" fontId="41" fillId="0" borderId="0" xfId="4" applyFont="1" applyFill="1" applyAlignment="1">
      <alignment shrinkToFit="1"/>
    </xf>
    <xf numFmtId="0" fontId="10" fillId="0" borderId="0" xfId="4" applyFont="1" applyFill="1" applyAlignment="1">
      <alignment shrinkToFit="1"/>
    </xf>
    <xf numFmtId="0" fontId="40" fillId="0" borderId="0" xfId="0" applyFont="1" applyFill="1" applyAlignment="1">
      <alignment horizontal="left"/>
    </xf>
    <xf numFmtId="0" fontId="40" fillId="0" borderId="0" xfId="0" applyFont="1" applyFill="1" applyAlignment="1">
      <alignment horizontal="center"/>
    </xf>
    <xf numFmtId="0" fontId="12" fillId="0" borderId="0" xfId="0" applyFont="1" applyFill="1" applyAlignment="1">
      <alignment horizontal="right" vertical="center"/>
    </xf>
    <xf numFmtId="0" fontId="12" fillId="0" borderId="0" xfId="0" applyFont="1" applyFill="1" applyAlignment="1"/>
    <xf numFmtId="0" fontId="12" fillId="0" borderId="0" xfId="0" applyFont="1" applyFill="1" applyAlignment="1">
      <alignment horizontal="center"/>
    </xf>
    <xf numFmtId="0" fontId="40" fillId="0" borderId="0" xfId="3" applyFont="1" applyFill="1" applyAlignment="1">
      <alignment horizontal="left"/>
    </xf>
    <xf numFmtId="0" fontId="40" fillId="0" borderId="0" xfId="0" applyFont="1" applyFill="1" applyAlignment="1">
      <alignment horizontal="right"/>
    </xf>
    <xf numFmtId="2" fontId="39" fillId="0" borderId="0" xfId="0" applyNumberFormat="1" applyFont="1" applyFill="1" applyAlignment="1">
      <alignment horizontal="left" vertical="center"/>
    </xf>
    <xf numFmtId="0" fontId="39" fillId="0" borderId="0" xfId="0" applyFont="1" applyFill="1" applyAlignment="1"/>
    <xf numFmtId="0" fontId="12" fillId="0" borderId="0" xfId="4" applyFont="1" applyFill="1"/>
    <xf numFmtId="0" fontId="15" fillId="0" borderId="0" xfId="4" applyFont="1" applyFill="1"/>
    <xf numFmtId="0" fontId="16" fillId="0" borderId="50" xfId="4" applyFont="1" applyFill="1" applyBorder="1" applyAlignment="1">
      <alignment horizontal="center" vertical="center" wrapText="1"/>
    </xf>
    <xf numFmtId="0" fontId="15" fillId="0" borderId="3" xfId="4" applyFont="1" applyFill="1" applyBorder="1" applyAlignment="1">
      <alignment horizontal="center" vertical="center" textRotation="90" wrapText="1"/>
    </xf>
    <xf numFmtId="0" fontId="15" fillId="0" borderId="38" xfId="4" applyFont="1" applyFill="1" applyBorder="1" applyAlignment="1">
      <alignment horizontal="center" vertical="center" textRotation="90" wrapText="1"/>
    </xf>
    <xf numFmtId="0" fontId="15" fillId="0" borderId="22" xfId="4" applyFont="1" applyFill="1" applyBorder="1" applyAlignment="1">
      <alignment horizontal="center" vertical="center" textRotation="90" wrapText="1"/>
    </xf>
    <xf numFmtId="0" fontId="16" fillId="0" borderId="3" xfId="4" applyFont="1" applyFill="1" applyBorder="1" applyAlignment="1">
      <alignment horizontal="center" vertical="center"/>
    </xf>
    <xf numFmtId="0" fontId="10" fillId="0" borderId="3" xfId="4" applyFont="1" applyFill="1" applyBorder="1" applyAlignment="1">
      <alignment horizontal="center" vertical="center" textRotation="90" wrapText="1"/>
    </xf>
    <xf numFmtId="0" fontId="15" fillId="0" borderId="3" xfId="4" applyFont="1" applyFill="1" applyBorder="1" applyAlignment="1">
      <alignment horizontal="center" textRotation="90" wrapText="1"/>
    </xf>
    <xf numFmtId="0" fontId="10" fillId="0" borderId="22" xfId="4" applyFont="1" applyFill="1" applyBorder="1" applyAlignment="1">
      <alignment horizontal="center" textRotation="90" wrapText="1"/>
    </xf>
    <xf numFmtId="0" fontId="15" fillId="0" borderId="38" xfId="4" applyFont="1" applyFill="1" applyBorder="1" applyAlignment="1">
      <alignment horizontal="center" textRotation="90" wrapText="1"/>
    </xf>
    <xf numFmtId="0" fontId="15" fillId="0" borderId="2" xfId="4" applyFont="1" applyFill="1" applyBorder="1" applyAlignment="1">
      <alignment horizontal="center" textRotation="90" wrapText="1"/>
    </xf>
    <xf numFmtId="164" fontId="16" fillId="0" borderId="12" xfId="4" applyNumberFormat="1" applyFont="1" applyFill="1" applyBorder="1" applyAlignment="1">
      <alignment horizontal="center" vertical="center" shrinkToFit="1"/>
    </xf>
    <xf numFmtId="2" fontId="16" fillId="0" borderId="29" xfId="4" applyNumberFormat="1" applyFont="1" applyFill="1" applyBorder="1" applyAlignment="1">
      <alignment vertical="top" shrinkToFit="1"/>
    </xf>
    <xf numFmtId="2" fontId="16" fillId="0" borderId="28" xfId="4" applyNumberFormat="1" applyFont="1" applyFill="1" applyBorder="1" applyAlignment="1">
      <alignment horizontal="center" vertical="center" shrinkToFit="1"/>
    </xf>
    <xf numFmtId="2" fontId="16" fillId="0" borderId="28" xfId="4" applyNumberFormat="1" applyFont="1" applyFill="1" applyBorder="1" applyAlignment="1">
      <alignment horizontal="center" vertical="center"/>
    </xf>
    <xf numFmtId="2" fontId="16" fillId="0" borderId="30" xfId="4" applyNumberFormat="1" applyFont="1" applyFill="1" applyBorder="1" applyAlignment="1">
      <alignment vertical="top" shrinkToFit="1"/>
    </xf>
    <xf numFmtId="0" fontId="16" fillId="0" borderId="33" xfId="4" applyNumberFormat="1" applyFont="1" applyFill="1" applyBorder="1" applyAlignment="1">
      <alignment horizontal="center" vertical="center" shrinkToFit="1"/>
    </xf>
    <xf numFmtId="2" fontId="16" fillId="0" borderId="33" xfId="4" applyNumberFormat="1" applyFont="1" applyFill="1" applyBorder="1" applyAlignment="1">
      <alignment horizontal="center" vertical="center"/>
    </xf>
    <xf numFmtId="2" fontId="16" fillId="0" borderId="33" xfId="4" applyNumberFormat="1" applyFont="1" applyFill="1" applyBorder="1" applyAlignment="1">
      <alignment vertical="top"/>
    </xf>
    <xf numFmtId="2" fontId="16" fillId="0" borderId="36" xfId="4" applyNumberFormat="1" applyFont="1" applyFill="1" applyBorder="1" applyAlignment="1">
      <alignment vertical="top" shrinkToFit="1"/>
    </xf>
    <xf numFmtId="0" fontId="16" fillId="0" borderId="40" xfId="0" applyNumberFormat="1" applyFont="1" applyFill="1" applyBorder="1" applyAlignment="1">
      <alignment horizontal="center" vertical="top" shrinkToFit="1"/>
    </xf>
    <xf numFmtId="49" fontId="16" fillId="0" borderId="4" xfId="0" applyNumberFormat="1" applyFont="1" applyFill="1" applyBorder="1" applyAlignment="1">
      <alignment horizontal="center" vertical="top" wrapText="1"/>
    </xf>
    <xf numFmtId="0" fontId="16" fillId="0" borderId="4" xfId="0" applyNumberFormat="1" applyFont="1" applyFill="1" applyBorder="1" applyAlignment="1">
      <alignment horizontal="center" vertical="center"/>
    </xf>
    <xf numFmtId="2" fontId="16" fillId="0" borderId="4" xfId="0" applyNumberFormat="1" applyFont="1" applyFill="1" applyBorder="1" applyAlignment="1">
      <alignment vertical="top"/>
    </xf>
    <xf numFmtId="2" fontId="16" fillId="0" borderId="4" xfId="0" applyNumberFormat="1" applyFont="1" applyFill="1" applyBorder="1" applyAlignment="1">
      <alignment vertical="top" shrinkToFit="1"/>
    </xf>
    <xf numFmtId="2" fontId="16" fillId="0" borderId="23" xfId="0" applyNumberFormat="1" applyFont="1" applyFill="1" applyBorder="1" applyAlignment="1">
      <alignment vertical="top"/>
    </xf>
    <xf numFmtId="2" fontId="16" fillId="0" borderId="29" xfId="0" applyNumberFormat="1" applyFont="1" applyFill="1" applyBorder="1" applyAlignment="1">
      <alignment vertical="top"/>
    </xf>
    <xf numFmtId="2" fontId="15" fillId="0" borderId="3" xfId="0" applyNumberFormat="1" applyFont="1" applyFill="1" applyBorder="1" applyAlignment="1">
      <alignment vertical="top"/>
    </xf>
    <xf numFmtId="0" fontId="16" fillId="0" borderId="3" xfId="0" applyNumberFormat="1" applyFont="1" applyFill="1" applyBorder="1" applyAlignment="1">
      <alignment horizontal="center" vertical="center" shrinkToFit="1"/>
    </xf>
    <xf numFmtId="2" fontId="16" fillId="0" borderId="3" xfId="0" applyNumberFormat="1" applyFont="1" applyFill="1" applyBorder="1" applyAlignment="1">
      <alignment horizontal="center" vertical="center"/>
    </xf>
    <xf numFmtId="2" fontId="16" fillId="0" borderId="3" xfId="0" applyNumberFormat="1" applyFont="1" applyFill="1" applyBorder="1" applyAlignment="1">
      <alignment vertical="top"/>
    </xf>
    <xf numFmtId="2" fontId="16" fillId="0" borderId="22" xfId="0" applyNumberFormat="1" applyFont="1" applyFill="1" applyBorder="1" applyAlignment="1">
      <alignment vertical="top" shrinkToFit="1"/>
    </xf>
    <xf numFmtId="2" fontId="16" fillId="0" borderId="2" xfId="0" applyNumberFormat="1" applyFont="1" applyFill="1" applyBorder="1" applyAlignment="1">
      <alignment horizontal="center" vertical="center" shrinkToFit="1"/>
    </xf>
    <xf numFmtId="0" fontId="16" fillId="0" borderId="0" xfId="0" applyNumberFormat="1" applyFont="1" applyFill="1" applyAlignment="1">
      <alignment vertical="top"/>
    </xf>
    <xf numFmtId="0" fontId="16" fillId="0" borderId="20" xfId="0" applyNumberFormat="1" applyFont="1" applyFill="1" applyBorder="1" applyAlignment="1">
      <alignment horizontal="center" vertical="top"/>
    </xf>
    <xf numFmtId="0" fontId="16" fillId="0" borderId="0" xfId="0" applyNumberFormat="1" applyFont="1" applyFill="1" applyBorder="1" applyAlignment="1">
      <alignment vertical="top"/>
    </xf>
    <xf numFmtId="0" fontId="16" fillId="0" borderId="0" xfId="0" applyNumberFormat="1" applyFont="1" applyFill="1" applyBorder="1" applyAlignment="1">
      <alignment horizontal="center" vertical="center"/>
    </xf>
    <xf numFmtId="2" fontId="16" fillId="0" borderId="8" xfId="0" applyNumberFormat="1" applyFont="1" applyFill="1" applyBorder="1" applyAlignment="1">
      <alignment vertical="top"/>
    </xf>
    <xf numFmtId="2" fontId="16" fillId="0" borderId="9" xfId="0" applyNumberFormat="1" applyFont="1" applyFill="1" applyBorder="1" applyAlignment="1">
      <alignment vertical="top"/>
    </xf>
    <xf numFmtId="2" fontId="16" fillId="0" borderId="9" xfId="0" applyNumberFormat="1" applyFont="1" applyFill="1" applyBorder="1" applyAlignment="1">
      <alignment vertical="top" shrinkToFit="1"/>
    </xf>
    <xf numFmtId="2" fontId="16" fillId="0" borderId="18" xfId="0" applyNumberFormat="1" applyFont="1" applyFill="1" applyBorder="1" applyAlignment="1">
      <alignment vertical="center" shrinkToFit="1"/>
    </xf>
    <xf numFmtId="0" fontId="16" fillId="0" borderId="21" xfId="0" applyNumberFormat="1" applyFont="1" applyFill="1" applyBorder="1" applyAlignment="1">
      <alignment horizontal="center" vertical="top"/>
    </xf>
    <xf numFmtId="0" fontId="16" fillId="0" borderId="1" xfId="0" applyNumberFormat="1" applyFont="1" applyFill="1" applyBorder="1" applyAlignment="1">
      <alignment vertical="top"/>
    </xf>
    <xf numFmtId="0" fontId="10" fillId="0" borderId="14" xfId="0" applyNumberFormat="1" applyFont="1" applyFill="1" applyBorder="1" applyAlignment="1">
      <alignment vertical="top"/>
    </xf>
    <xf numFmtId="0" fontId="16" fillId="0" borderId="1" xfId="0" applyNumberFormat="1" applyFont="1" applyFill="1" applyBorder="1" applyAlignment="1">
      <alignment horizontal="center" vertical="center"/>
    </xf>
    <xf numFmtId="2" fontId="16" fillId="0" borderId="14" xfId="0" applyNumberFormat="1" applyFont="1" applyFill="1" applyBorder="1" applyAlignment="1">
      <alignment horizontal="center" vertical="center" shrinkToFit="1"/>
    </xf>
    <xf numFmtId="2" fontId="16" fillId="0" borderId="1" xfId="0" applyNumberFormat="1" applyFont="1" applyFill="1" applyBorder="1" applyAlignment="1">
      <alignment vertical="top"/>
    </xf>
    <xf numFmtId="2" fontId="16" fillId="0" borderId="1" xfId="0" applyNumberFormat="1" applyFont="1" applyFill="1" applyBorder="1" applyAlignment="1">
      <alignment vertical="top" shrinkToFit="1"/>
    </xf>
    <xf numFmtId="2" fontId="16" fillId="0" borderId="10" xfId="0" applyNumberFormat="1" applyFont="1" applyFill="1" applyBorder="1" applyAlignment="1">
      <alignment vertical="top"/>
    </xf>
    <xf numFmtId="2" fontId="16" fillId="0" borderId="11" xfId="0" applyNumberFormat="1" applyFont="1" applyFill="1" applyBorder="1" applyAlignment="1">
      <alignment vertical="top"/>
    </xf>
    <xf numFmtId="2" fontId="15" fillId="0" borderId="1" xfId="0" applyNumberFormat="1" applyFont="1" applyFill="1" applyBorder="1" applyAlignment="1">
      <alignment vertical="top"/>
    </xf>
    <xf numFmtId="0" fontId="16" fillId="0" borderId="1" xfId="0" applyNumberFormat="1" applyFont="1" applyFill="1" applyBorder="1" applyAlignment="1">
      <alignment horizontal="center" vertical="center" shrinkToFit="1"/>
    </xf>
    <xf numFmtId="2" fontId="16" fillId="0" borderId="1" xfId="0" applyNumberFormat="1" applyFont="1" applyFill="1" applyBorder="1" applyAlignment="1">
      <alignment horizontal="center" vertical="center"/>
    </xf>
    <xf numFmtId="2" fontId="16" fillId="0" borderId="11" xfId="0" applyNumberFormat="1" applyFont="1" applyFill="1" applyBorder="1" applyAlignment="1">
      <alignment vertical="top" shrinkToFit="1"/>
    </xf>
    <xf numFmtId="2" fontId="16" fillId="0" borderId="49" xfId="0" applyNumberFormat="1" applyFont="1" applyFill="1" applyBorder="1" applyAlignment="1">
      <alignment vertical="center" shrinkToFit="1"/>
    </xf>
    <xf numFmtId="2" fontId="16" fillId="0" borderId="56" xfId="4" applyNumberFormat="1" applyFont="1" applyFill="1" applyBorder="1" applyAlignment="1">
      <alignment vertical="top" shrinkToFit="1"/>
    </xf>
    <xf numFmtId="2" fontId="15" fillId="0" borderId="38" xfId="4" applyNumberFormat="1" applyFont="1" applyFill="1" applyBorder="1" applyAlignment="1">
      <alignment vertical="top"/>
    </xf>
    <xf numFmtId="2" fontId="16" fillId="0" borderId="3" xfId="4" applyNumberFormat="1" applyFont="1" applyFill="1" applyBorder="1" applyAlignment="1">
      <alignment horizontal="center" vertical="top"/>
    </xf>
    <xf numFmtId="2" fontId="16" fillId="0" borderId="3" xfId="4" applyNumberFormat="1" applyFont="1" applyFill="1" applyBorder="1" applyAlignment="1">
      <alignment horizontal="center" vertical="top" shrinkToFit="1"/>
    </xf>
    <xf numFmtId="0" fontId="16" fillId="0" borderId="35" xfId="4" applyNumberFormat="1" applyFont="1" applyFill="1" applyBorder="1" applyAlignment="1">
      <alignment horizontal="center" vertical="center" shrinkToFit="1"/>
    </xf>
    <xf numFmtId="2" fontId="16" fillId="0" borderId="35" xfId="4" applyNumberFormat="1" applyFont="1" applyFill="1" applyBorder="1" applyAlignment="1">
      <alignment horizontal="center" vertical="top" shrinkToFit="1"/>
    </xf>
    <xf numFmtId="2" fontId="16" fillId="0" borderId="33" xfId="4" applyNumberFormat="1" applyFont="1" applyFill="1" applyBorder="1" applyAlignment="1">
      <alignment vertical="top" shrinkToFit="1"/>
    </xf>
    <xf numFmtId="2" fontId="16" fillId="0" borderId="37" xfId="4" applyNumberFormat="1" applyFont="1" applyFill="1" applyBorder="1" applyAlignment="1">
      <alignment vertical="top" shrinkToFit="1"/>
    </xf>
    <xf numFmtId="0" fontId="16" fillId="0" borderId="35" xfId="4" applyNumberFormat="1" applyFont="1" applyFill="1" applyBorder="1" applyAlignment="1">
      <alignment horizontal="center" vertical="top" shrinkToFit="1"/>
    </xf>
    <xf numFmtId="2" fontId="16" fillId="0" borderId="4" xfId="4" applyNumberFormat="1" applyFont="1" applyFill="1" applyBorder="1" applyAlignment="1">
      <alignment horizontal="center" vertical="top"/>
    </xf>
    <xf numFmtId="2" fontId="16" fillId="0" borderId="4" xfId="4" applyNumberFormat="1" applyFont="1" applyFill="1" applyBorder="1" applyAlignment="1">
      <alignment horizontal="center" vertical="top" shrinkToFit="1"/>
    </xf>
    <xf numFmtId="2" fontId="16" fillId="0" borderId="35" xfId="4" applyNumberFormat="1" applyFont="1" applyFill="1" applyBorder="1" applyAlignment="1">
      <alignment horizontal="center" vertical="top"/>
    </xf>
    <xf numFmtId="2" fontId="16" fillId="0" borderId="35" xfId="4" applyNumberFormat="1" applyFont="1" applyFill="1" applyBorder="1" applyAlignment="1">
      <alignment vertical="top"/>
    </xf>
    <xf numFmtId="2" fontId="16" fillId="0" borderId="0" xfId="4" applyNumberFormat="1" applyFont="1" applyFill="1" applyBorder="1" applyAlignment="1">
      <alignment horizontal="center" vertical="top"/>
    </xf>
    <xf numFmtId="2" fontId="16" fillId="0" borderId="0" xfId="4" applyNumberFormat="1" applyFont="1" applyFill="1" applyBorder="1" applyAlignment="1">
      <alignment horizontal="center" vertical="top" shrinkToFit="1"/>
    </xf>
    <xf numFmtId="0" fontId="16" fillId="0" borderId="58" xfId="4" applyNumberFormat="1" applyFont="1" applyFill="1" applyBorder="1" applyAlignment="1">
      <alignment horizontal="center" vertical="center" shrinkToFit="1"/>
    </xf>
    <xf numFmtId="2" fontId="16" fillId="0" borderId="58" xfId="4" applyNumberFormat="1" applyFont="1" applyFill="1" applyBorder="1" applyAlignment="1">
      <alignment horizontal="center" vertical="top"/>
    </xf>
    <xf numFmtId="2" fontId="16" fillId="0" borderId="58" xfId="4" applyNumberFormat="1" applyFont="1" applyFill="1" applyBorder="1" applyAlignment="1">
      <alignment horizontal="center" vertical="top" shrinkToFit="1"/>
    </xf>
    <xf numFmtId="2" fontId="16" fillId="0" borderId="58" xfId="4" applyNumberFormat="1" applyFont="1" applyFill="1" applyBorder="1" applyAlignment="1">
      <alignment vertical="top"/>
    </xf>
    <xf numFmtId="2" fontId="16" fillId="0" borderId="59" xfId="4" applyNumberFormat="1" applyFont="1" applyFill="1" applyBorder="1" applyAlignment="1">
      <alignment vertical="top" shrinkToFit="1"/>
    </xf>
    <xf numFmtId="0" fontId="16" fillId="0" borderId="28" xfId="4" applyNumberFormat="1" applyFont="1" applyFill="1" applyBorder="1" applyAlignment="1">
      <alignment horizontal="center" vertical="top" shrinkToFit="1"/>
    </xf>
    <xf numFmtId="0" fontId="16" fillId="0" borderId="58" xfId="4" applyNumberFormat="1" applyFont="1" applyFill="1" applyBorder="1" applyAlignment="1">
      <alignment horizontal="center" vertical="top" shrinkToFit="1"/>
    </xf>
    <xf numFmtId="0" fontId="16" fillId="0" borderId="50" xfId="0" applyNumberFormat="1" applyFont="1" applyFill="1" applyBorder="1" applyAlignment="1">
      <alignment horizontal="center" vertical="top"/>
    </xf>
    <xf numFmtId="0" fontId="16" fillId="0" borderId="3" xfId="0" applyNumberFormat="1" applyFont="1" applyFill="1" applyBorder="1" applyAlignment="1">
      <alignment vertical="top"/>
    </xf>
    <xf numFmtId="0" fontId="16" fillId="0" borderId="3" xfId="0" applyNumberFormat="1" applyFont="1" applyFill="1" applyBorder="1" applyAlignment="1">
      <alignment horizontal="center" vertical="center"/>
    </xf>
    <xf numFmtId="2" fontId="16" fillId="0" borderId="3" xfId="0" applyNumberFormat="1" applyFont="1" applyFill="1" applyBorder="1" applyAlignment="1">
      <alignment vertical="top" shrinkToFit="1"/>
    </xf>
    <xf numFmtId="2" fontId="16" fillId="0" borderId="38" xfId="0" applyNumberFormat="1" applyFont="1" applyFill="1" applyBorder="1" applyAlignment="1">
      <alignment vertical="top"/>
    </xf>
    <xf numFmtId="2" fontId="16" fillId="0" borderId="22" xfId="0" applyNumberFormat="1" applyFont="1" applyFill="1" applyBorder="1" applyAlignment="1">
      <alignment vertical="top"/>
    </xf>
    <xf numFmtId="2" fontId="16" fillId="0" borderId="3" xfId="0" applyNumberFormat="1" applyFont="1" applyFill="1" applyBorder="1" applyAlignment="1">
      <alignment horizontal="center" vertical="center" shrinkToFit="1"/>
    </xf>
    <xf numFmtId="165" fontId="16" fillId="0" borderId="0" xfId="0" applyNumberFormat="1" applyFont="1" applyFill="1" applyAlignment="1">
      <alignment vertical="top"/>
    </xf>
    <xf numFmtId="0" fontId="16" fillId="0" borderId="1" xfId="5" applyNumberFormat="1" applyFont="1" applyFill="1" applyBorder="1" applyAlignment="1">
      <alignment horizontal="center" vertical="center" shrinkToFit="1"/>
    </xf>
    <xf numFmtId="2" fontId="16" fillId="0" borderId="1" xfId="5" applyNumberFormat="1" applyFont="1" applyFill="1" applyBorder="1" applyAlignment="1">
      <alignment horizontal="center" vertical="top"/>
    </xf>
    <xf numFmtId="2" fontId="16" fillId="0" borderId="0" xfId="5" applyNumberFormat="1" applyFont="1" applyFill="1" applyAlignment="1">
      <alignment horizontal="center" vertical="top"/>
    </xf>
    <xf numFmtId="2" fontId="16" fillId="0" borderId="0" xfId="5" applyNumberFormat="1" applyFont="1" applyFill="1" applyBorder="1" applyAlignment="1">
      <alignment horizontal="center" vertical="top"/>
    </xf>
    <xf numFmtId="0" fontId="16" fillId="0" borderId="20" xfId="0" applyNumberFormat="1" applyFont="1" applyFill="1" applyBorder="1" applyAlignment="1">
      <alignment horizontal="center" vertical="top" shrinkToFit="1"/>
    </xf>
    <xf numFmtId="49" fontId="16" fillId="0" borderId="0" xfId="0" applyNumberFormat="1" applyFont="1" applyFill="1" applyAlignment="1">
      <alignment horizontal="center" vertical="top" wrapText="1"/>
    </xf>
    <xf numFmtId="0" fontId="16" fillId="0" borderId="0" xfId="0" applyNumberFormat="1" applyFont="1" applyFill="1" applyAlignment="1">
      <alignment horizontal="center" vertical="center"/>
    </xf>
    <xf numFmtId="2" fontId="16" fillId="0" borderId="0" xfId="0" applyNumberFormat="1" applyFont="1" applyFill="1" applyAlignment="1">
      <alignment vertical="top"/>
    </xf>
    <xf numFmtId="2" fontId="15" fillId="0" borderId="0" xfId="0" applyNumberFormat="1" applyFont="1" applyFill="1" applyAlignment="1">
      <alignment vertical="top"/>
    </xf>
    <xf numFmtId="0" fontId="16" fillId="0" borderId="0" xfId="0" applyNumberFormat="1" applyFont="1" applyFill="1" applyAlignment="1">
      <alignment horizontal="center" vertical="center" shrinkToFit="1"/>
    </xf>
    <xf numFmtId="2" fontId="16" fillId="0" borderId="0" xfId="0" applyNumberFormat="1" applyFont="1" applyFill="1" applyAlignment="1">
      <alignment horizontal="center" vertical="center"/>
    </xf>
    <xf numFmtId="2" fontId="16" fillId="0" borderId="0" xfId="0" applyNumberFormat="1" applyFont="1" applyFill="1" applyAlignment="1">
      <alignment vertical="top" shrinkToFit="1"/>
    </xf>
    <xf numFmtId="0" fontId="10" fillId="0" borderId="13" xfId="0" applyNumberFormat="1" applyFont="1" applyFill="1" applyBorder="1" applyAlignment="1">
      <alignment vertical="top"/>
    </xf>
    <xf numFmtId="2" fontId="15" fillId="0" borderId="4" xfId="0" applyNumberFormat="1" applyFont="1" applyFill="1" applyBorder="1" applyAlignment="1">
      <alignment vertical="top"/>
    </xf>
    <xf numFmtId="0" fontId="16" fillId="0" borderId="4" xfId="0" applyNumberFormat="1" applyFont="1" applyFill="1" applyBorder="1" applyAlignment="1">
      <alignment horizontal="center" vertical="center" shrinkToFit="1"/>
    </xf>
    <xf numFmtId="2" fontId="16" fillId="0" borderId="4" xfId="0" applyNumberFormat="1" applyFont="1" applyFill="1" applyBorder="1" applyAlignment="1">
      <alignment horizontal="center" vertical="center"/>
    </xf>
    <xf numFmtId="2" fontId="16" fillId="0" borderId="29" xfId="0" applyNumberFormat="1" applyFont="1" applyFill="1" applyBorder="1" applyAlignment="1">
      <alignment vertical="top" shrinkToFit="1"/>
    </xf>
    <xf numFmtId="49" fontId="16" fillId="0" borderId="0" xfId="0" applyNumberFormat="1" applyFont="1" applyFill="1" applyBorder="1" applyAlignment="1">
      <alignment horizontal="center" vertical="top" wrapText="1"/>
    </xf>
    <xf numFmtId="0" fontId="16" fillId="0" borderId="28" xfId="0" applyNumberFormat="1" applyFont="1" applyFill="1" applyBorder="1" applyAlignment="1">
      <alignment horizontal="center" vertical="center" shrinkToFit="1"/>
    </xf>
    <xf numFmtId="2" fontId="16" fillId="0" borderId="28" xfId="0" applyNumberFormat="1" applyFont="1" applyFill="1" applyBorder="1" applyAlignment="1">
      <alignment horizontal="center" vertical="center" shrinkToFit="1"/>
    </xf>
    <xf numFmtId="2" fontId="16" fillId="0" borderId="28" xfId="0" applyNumberFormat="1" applyFont="1" applyFill="1" applyBorder="1" applyAlignment="1">
      <alignment horizontal="center" vertical="center"/>
    </xf>
    <xf numFmtId="2" fontId="16" fillId="0" borderId="28" xfId="0" applyNumberFormat="1" applyFont="1" applyFill="1" applyBorder="1" applyAlignment="1">
      <alignment vertical="top" shrinkToFit="1"/>
    </xf>
    <xf numFmtId="49" fontId="15" fillId="0" borderId="51" xfId="0" applyNumberFormat="1" applyFont="1" applyFill="1" applyBorder="1" applyAlignment="1">
      <alignment horizontal="left" vertical="top" wrapText="1"/>
    </xf>
    <xf numFmtId="0" fontId="16" fillId="0" borderId="52" xfId="0" applyNumberFormat="1" applyFont="1" applyFill="1" applyBorder="1" applyAlignment="1">
      <alignment horizontal="center" vertical="center" shrinkToFit="1"/>
    </xf>
    <xf numFmtId="2" fontId="16" fillId="0" borderId="52" xfId="0" applyNumberFormat="1" applyFont="1" applyFill="1" applyBorder="1" applyAlignment="1">
      <alignment horizontal="center" vertical="center" shrinkToFit="1"/>
    </xf>
    <xf numFmtId="2" fontId="16" fillId="0" borderId="52" xfId="0" applyNumberFormat="1" applyFont="1" applyFill="1" applyBorder="1" applyAlignment="1">
      <alignment horizontal="center" vertical="center"/>
    </xf>
    <xf numFmtId="2" fontId="16" fillId="0" borderId="52" xfId="0" applyNumberFormat="1" applyFont="1" applyFill="1" applyBorder="1" applyAlignment="1">
      <alignment vertical="top" shrinkToFit="1"/>
    </xf>
    <xf numFmtId="2" fontId="16" fillId="0" borderId="55" xfId="4" applyNumberFormat="1" applyFont="1" applyFill="1" applyBorder="1" applyAlignment="1">
      <alignment horizontal="center" vertical="center" shrinkToFit="1"/>
    </xf>
    <xf numFmtId="2" fontId="16" fillId="0" borderId="55" xfId="4" applyNumberFormat="1" applyFont="1" applyFill="1" applyBorder="1" applyAlignment="1">
      <alignment horizontal="center" vertical="center"/>
    </xf>
    <xf numFmtId="2" fontId="16" fillId="0" borderId="52" xfId="4" applyNumberFormat="1" applyFont="1" applyFill="1" applyBorder="1" applyAlignment="1">
      <alignment horizontal="center" vertical="center" shrinkToFit="1"/>
    </xf>
    <xf numFmtId="2" fontId="16" fillId="0" borderId="52" xfId="4" applyNumberFormat="1" applyFont="1" applyFill="1" applyBorder="1" applyAlignment="1">
      <alignment horizontal="center" vertical="center"/>
    </xf>
    <xf numFmtId="2" fontId="16" fillId="0" borderId="52" xfId="5" applyNumberFormat="1" applyFont="1" applyFill="1" applyBorder="1" applyAlignment="1">
      <alignment vertical="top" shrinkToFit="1"/>
    </xf>
    <xf numFmtId="2" fontId="16" fillId="0" borderId="53" xfId="4" applyNumberFormat="1" applyFont="1" applyFill="1" applyBorder="1" applyAlignment="1">
      <alignment vertical="top" shrinkToFit="1"/>
    </xf>
    <xf numFmtId="2" fontId="16" fillId="0" borderId="35" xfId="4" applyNumberFormat="1" applyFont="1" applyFill="1" applyBorder="1" applyAlignment="1">
      <alignment horizontal="center" vertical="center"/>
    </xf>
    <xf numFmtId="49" fontId="15" fillId="0" borderId="25" xfId="4" applyNumberFormat="1" applyFont="1" applyFill="1" applyBorder="1" applyAlignment="1">
      <alignment horizontal="left" vertical="top" wrapText="1"/>
    </xf>
    <xf numFmtId="0" fontId="16" fillId="0" borderId="26" xfId="4" applyNumberFormat="1" applyFont="1" applyFill="1" applyBorder="1" applyAlignment="1">
      <alignment horizontal="center" vertical="center" shrinkToFit="1"/>
    </xf>
    <xf numFmtId="2" fontId="16" fillId="0" borderId="26" xfId="4" applyNumberFormat="1" applyFont="1" applyFill="1" applyBorder="1" applyAlignment="1">
      <alignment horizontal="center" vertical="center" shrinkToFit="1"/>
    </xf>
    <xf numFmtId="2" fontId="16" fillId="0" borderId="26" xfId="4" applyNumberFormat="1" applyFont="1" applyFill="1" applyBorder="1" applyAlignment="1">
      <alignment horizontal="center" vertical="center"/>
    </xf>
    <xf numFmtId="2" fontId="16" fillId="0" borderId="26" xfId="4" applyNumberFormat="1" applyFont="1" applyFill="1" applyBorder="1" applyAlignment="1">
      <alignment vertical="top" shrinkToFit="1"/>
    </xf>
    <xf numFmtId="0" fontId="16" fillId="0" borderId="50" xfId="4" applyNumberFormat="1" applyFont="1" applyFill="1" applyBorder="1" applyAlignment="1">
      <alignment horizontal="center" vertical="top"/>
    </xf>
    <xf numFmtId="0" fontId="16" fillId="0" borderId="3" xfId="4" applyNumberFormat="1" applyFont="1" applyFill="1" applyBorder="1" applyAlignment="1">
      <alignment vertical="top"/>
    </xf>
    <xf numFmtId="0" fontId="16" fillId="0" borderId="3" xfId="4" applyNumberFormat="1" applyFont="1" applyFill="1" applyBorder="1" applyAlignment="1">
      <alignment horizontal="center" vertical="center"/>
    </xf>
    <xf numFmtId="2" fontId="16" fillId="0" borderId="3" xfId="4" applyNumberFormat="1" applyFont="1" applyFill="1" applyBorder="1" applyAlignment="1">
      <alignment vertical="top" shrinkToFit="1"/>
    </xf>
    <xf numFmtId="2" fontId="16" fillId="0" borderId="38" xfId="4" applyNumberFormat="1" applyFont="1" applyFill="1" applyBorder="1" applyAlignment="1">
      <alignment vertical="top"/>
    </xf>
    <xf numFmtId="2" fontId="16" fillId="0" borderId="22" xfId="4" applyNumberFormat="1" applyFont="1" applyFill="1" applyBorder="1" applyAlignment="1">
      <alignment vertical="top"/>
    </xf>
    <xf numFmtId="0" fontId="16" fillId="0" borderId="4" xfId="5" applyNumberFormat="1" applyFont="1" applyFill="1" applyBorder="1" applyAlignment="1">
      <alignment horizontal="center" vertical="center"/>
    </xf>
    <xf numFmtId="164" fontId="16" fillId="0" borderId="12" xfId="5" applyNumberFormat="1" applyFont="1" applyFill="1" applyBorder="1" applyAlignment="1">
      <alignment horizontal="center" vertical="center" shrinkToFit="1"/>
    </xf>
    <xf numFmtId="2" fontId="16" fillId="0" borderId="3" xfId="5" applyNumberFormat="1" applyFont="1" applyFill="1" applyBorder="1" applyAlignment="1">
      <alignment horizontal="center" vertical="top"/>
    </xf>
    <xf numFmtId="0" fontId="16" fillId="0" borderId="0" xfId="5" applyNumberFormat="1" applyFont="1" applyFill="1" applyBorder="1" applyAlignment="1">
      <alignment horizontal="center" vertical="center"/>
    </xf>
    <xf numFmtId="0" fontId="16" fillId="0" borderId="0" xfId="5" applyNumberFormat="1" applyFont="1" applyFill="1" applyBorder="1" applyAlignment="1">
      <alignment vertical="top"/>
    </xf>
    <xf numFmtId="2" fontId="15" fillId="0" borderId="10" xfId="4" applyNumberFormat="1" applyFont="1" applyFill="1" applyBorder="1" applyAlignment="1">
      <alignment vertical="top"/>
    </xf>
    <xf numFmtId="164" fontId="16" fillId="0" borderId="13" xfId="4" applyNumberFormat="1" applyFont="1" applyFill="1" applyBorder="1" applyAlignment="1">
      <alignment horizontal="center" vertical="center" shrinkToFit="1"/>
    </xf>
    <xf numFmtId="164" fontId="16" fillId="0" borderId="13" xfId="0" applyNumberFormat="1" applyFont="1" applyFill="1" applyBorder="1" applyAlignment="1">
      <alignment horizontal="center" vertical="center" shrinkToFit="1"/>
    </xf>
    <xf numFmtId="2" fontId="16" fillId="0" borderId="4" xfId="0" applyNumberFormat="1" applyFont="1" applyFill="1" applyBorder="1" applyAlignment="1">
      <alignment horizontal="center" vertical="center" shrinkToFit="1"/>
    </xf>
    <xf numFmtId="0" fontId="16" fillId="0" borderId="33" xfId="0" applyNumberFormat="1" applyFont="1" applyFill="1" applyBorder="1" applyAlignment="1">
      <alignment horizontal="center" vertical="center" shrinkToFit="1"/>
    </xf>
    <xf numFmtId="2" fontId="16" fillId="0" borderId="33" xfId="0" applyNumberFormat="1" applyFont="1" applyFill="1" applyBorder="1" applyAlignment="1">
      <alignment horizontal="center" vertical="center"/>
    </xf>
    <xf numFmtId="2" fontId="16" fillId="0" borderId="33" xfId="0" applyNumberFormat="1" applyFont="1" applyFill="1" applyBorder="1" applyAlignment="1">
      <alignment horizontal="center" vertical="center" shrinkToFit="1"/>
    </xf>
    <xf numFmtId="2" fontId="16" fillId="0" borderId="33" xfId="0" applyNumberFormat="1" applyFont="1" applyFill="1" applyBorder="1" applyAlignment="1">
      <alignment vertical="top"/>
    </xf>
    <xf numFmtId="2" fontId="16" fillId="0" borderId="36" xfId="0" applyNumberFormat="1" applyFont="1" applyFill="1" applyBorder="1" applyAlignment="1">
      <alignment vertical="top" shrinkToFit="1"/>
    </xf>
    <xf numFmtId="0" fontId="16" fillId="0" borderId="3" xfId="5" applyNumberFormat="1" applyFont="1" applyFill="1" applyBorder="1" applyAlignment="1">
      <alignment horizontal="center" vertical="center"/>
    </xf>
    <xf numFmtId="2" fontId="16" fillId="0" borderId="3" xfId="5" applyNumberFormat="1" applyFont="1" applyFill="1" applyBorder="1" applyAlignment="1">
      <alignment vertical="top" shrinkToFit="1"/>
    </xf>
    <xf numFmtId="2" fontId="16" fillId="0" borderId="38" xfId="5" applyNumberFormat="1" applyFont="1" applyFill="1" applyBorder="1" applyAlignment="1">
      <alignment vertical="top"/>
    </xf>
    <xf numFmtId="2" fontId="16" fillId="0" borderId="22" xfId="5" applyNumberFormat="1" applyFont="1" applyFill="1" applyBorder="1" applyAlignment="1">
      <alignment vertical="top"/>
    </xf>
    <xf numFmtId="0" fontId="16" fillId="0" borderId="40" xfId="5" applyNumberFormat="1" applyFont="1" applyFill="1" applyBorder="1" applyAlignment="1">
      <alignment horizontal="center" vertical="top" shrinkToFit="1"/>
    </xf>
    <xf numFmtId="0" fontId="16" fillId="0" borderId="4" xfId="5" applyNumberFormat="1" applyFont="1" applyFill="1" applyBorder="1" applyAlignment="1">
      <alignment horizontal="center" vertical="center" shrinkToFit="1"/>
    </xf>
    <xf numFmtId="0" fontId="16" fillId="0" borderId="28" xfId="5" applyNumberFormat="1" applyFont="1" applyFill="1" applyBorder="1" applyAlignment="1">
      <alignment horizontal="center" vertical="center" shrinkToFit="1"/>
    </xf>
    <xf numFmtId="49" fontId="15" fillId="0" borderId="54" xfId="5" applyNumberFormat="1" applyFont="1" applyFill="1" applyBorder="1" applyAlignment="1">
      <alignment horizontal="left" vertical="top" wrapText="1"/>
    </xf>
    <xf numFmtId="0" fontId="16" fillId="0" borderId="55" xfId="5" applyNumberFormat="1" applyFont="1" applyFill="1" applyBorder="1" applyAlignment="1">
      <alignment horizontal="center" vertical="center" shrinkToFit="1"/>
    </xf>
    <xf numFmtId="2" fontId="16" fillId="0" borderId="55" xfId="5" applyNumberFormat="1" applyFont="1" applyFill="1" applyBorder="1" applyAlignment="1">
      <alignment horizontal="center" vertical="center" shrinkToFit="1"/>
    </xf>
    <xf numFmtId="2" fontId="16" fillId="0" borderId="55" xfId="5" applyNumberFormat="1" applyFont="1" applyFill="1" applyBorder="1" applyAlignment="1">
      <alignment horizontal="center" vertical="center"/>
    </xf>
    <xf numFmtId="2" fontId="16" fillId="0" borderId="55" xfId="5" applyNumberFormat="1" applyFont="1" applyFill="1" applyBorder="1" applyAlignment="1">
      <alignment vertical="top" shrinkToFit="1"/>
    </xf>
    <xf numFmtId="2" fontId="16" fillId="0" borderId="56" xfId="5" applyNumberFormat="1" applyFont="1" applyFill="1" applyBorder="1" applyAlignment="1">
      <alignment vertical="top" shrinkToFit="1"/>
    </xf>
    <xf numFmtId="49" fontId="15" fillId="0" borderId="51" xfId="5" applyNumberFormat="1" applyFont="1" applyFill="1" applyBorder="1" applyAlignment="1">
      <alignment horizontal="left" vertical="top" wrapText="1"/>
    </xf>
    <xf numFmtId="0" fontId="16" fillId="0" borderId="52" xfId="5" applyNumberFormat="1" applyFont="1" applyFill="1" applyBorder="1" applyAlignment="1">
      <alignment horizontal="center" vertical="center" shrinkToFit="1"/>
    </xf>
    <xf numFmtId="2" fontId="16" fillId="0" borderId="52" xfId="5" applyNumberFormat="1" applyFont="1" applyFill="1" applyBorder="1" applyAlignment="1">
      <alignment horizontal="center" vertical="center" shrinkToFit="1"/>
    </xf>
    <xf numFmtId="2" fontId="16" fillId="0" borderId="52" xfId="5" applyNumberFormat="1" applyFont="1" applyFill="1" applyBorder="1" applyAlignment="1">
      <alignment horizontal="center" vertical="center"/>
    </xf>
    <xf numFmtId="2" fontId="16" fillId="0" borderId="53" xfId="5" applyNumberFormat="1" applyFont="1" applyFill="1" applyBorder="1" applyAlignment="1">
      <alignment vertical="top" shrinkToFit="1"/>
    </xf>
    <xf numFmtId="0" fontId="16" fillId="0" borderId="33" xfId="5" applyNumberFormat="1" applyFont="1" applyFill="1" applyBorder="1" applyAlignment="1">
      <alignment horizontal="center" vertical="center" shrinkToFit="1"/>
    </xf>
    <xf numFmtId="2" fontId="16" fillId="0" borderId="33" xfId="5" applyNumberFormat="1" applyFont="1" applyFill="1" applyBorder="1" applyAlignment="1">
      <alignment horizontal="center" vertical="center"/>
    </xf>
    <xf numFmtId="2" fontId="16" fillId="0" borderId="33" xfId="5" applyNumberFormat="1" applyFont="1" applyFill="1" applyBorder="1" applyAlignment="1">
      <alignment vertical="top"/>
    </xf>
    <xf numFmtId="2" fontId="16" fillId="0" borderId="36" xfId="5" applyNumberFormat="1" applyFont="1" applyFill="1" applyBorder="1" applyAlignment="1">
      <alignment vertical="top" shrinkToFit="1"/>
    </xf>
    <xf numFmtId="0" fontId="16" fillId="0" borderId="35" xfId="5" applyNumberFormat="1" applyFont="1" applyFill="1" applyBorder="1" applyAlignment="1">
      <alignment horizontal="center" vertical="center" shrinkToFit="1"/>
    </xf>
    <xf numFmtId="2" fontId="16" fillId="0" borderId="0" xfId="4" applyNumberFormat="1" applyFont="1" applyFill="1" applyBorder="1" applyAlignment="1">
      <alignment horizontal="center" vertical="center" shrinkToFit="1"/>
    </xf>
    <xf numFmtId="0" fontId="16" fillId="0" borderId="0" xfId="4" applyNumberFormat="1" applyFont="1" applyFill="1" applyBorder="1" applyAlignment="1">
      <alignment horizontal="center" vertical="top"/>
    </xf>
    <xf numFmtId="0" fontId="10" fillId="0" borderId="0" xfId="4" applyNumberFormat="1" applyFont="1" applyFill="1" applyBorder="1" applyAlignment="1">
      <alignment vertical="top"/>
    </xf>
    <xf numFmtId="2" fontId="16" fillId="0" borderId="0" xfId="4" applyNumberFormat="1" applyFont="1" applyFill="1" applyBorder="1" applyAlignment="1">
      <alignment vertical="center" shrinkToFit="1"/>
    </xf>
    <xf numFmtId="0" fontId="16" fillId="24" borderId="20" xfId="5" applyFont="1" applyFill="1" applyBorder="1" applyAlignment="1">
      <alignment horizontal="center" vertical="top" shrinkToFit="1"/>
    </xf>
    <xf numFmtId="0" fontId="16" fillId="24" borderId="0" xfId="5" applyFont="1" applyFill="1" applyAlignment="1">
      <alignment horizontal="center" vertical="center"/>
    </xf>
    <xf numFmtId="2" fontId="16" fillId="24" borderId="0" xfId="5" applyNumberFormat="1" applyFont="1" applyFill="1" applyAlignment="1">
      <alignment vertical="top"/>
    </xf>
    <xf numFmtId="2" fontId="16" fillId="24" borderId="0" xfId="5" applyNumberFormat="1" applyFont="1" applyFill="1" applyAlignment="1">
      <alignment vertical="top" shrinkToFit="1"/>
    </xf>
    <xf numFmtId="2" fontId="16" fillId="24" borderId="8" xfId="5" applyNumberFormat="1" applyFont="1" applyFill="1" applyBorder="1" applyAlignment="1">
      <alignment vertical="top"/>
    </xf>
    <xf numFmtId="2" fontId="16" fillId="24" borderId="9" xfId="5" applyNumberFormat="1" applyFont="1" applyFill="1" applyBorder="1" applyAlignment="1">
      <alignment vertical="top"/>
    </xf>
    <xf numFmtId="2" fontId="15" fillId="24" borderId="3" xfId="5" applyNumberFormat="1" applyFont="1" applyFill="1" applyBorder="1" applyAlignment="1">
      <alignment vertical="top"/>
    </xf>
    <xf numFmtId="0" fontId="16" fillId="24" borderId="3" xfId="5" applyFont="1" applyFill="1" applyBorder="1" applyAlignment="1">
      <alignment horizontal="center" vertical="center" shrinkToFit="1"/>
    </xf>
    <xf numFmtId="2" fontId="16" fillId="24" borderId="3" xfId="5" applyNumberFormat="1" applyFont="1" applyFill="1" applyBorder="1" applyAlignment="1">
      <alignment horizontal="center" vertical="center"/>
    </xf>
    <xf numFmtId="2" fontId="16" fillId="24" borderId="3" xfId="5" applyNumberFormat="1" applyFont="1" applyFill="1" applyBorder="1" applyAlignment="1">
      <alignment horizontal="center" vertical="center" shrinkToFit="1"/>
    </xf>
    <xf numFmtId="2" fontId="16" fillId="24" borderId="3" xfId="5" applyNumberFormat="1" applyFont="1" applyFill="1" applyBorder="1" applyAlignment="1">
      <alignment vertical="top"/>
    </xf>
    <xf numFmtId="2" fontId="16" fillId="24" borderId="22" xfId="5" applyNumberFormat="1" applyFont="1" applyFill="1" applyBorder="1" applyAlignment="1">
      <alignment vertical="top" shrinkToFit="1"/>
    </xf>
    <xf numFmtId="2" fontId="16" fillId="24" borderId="2" xfId="5" applyNumberFormat="1" applyFont="1" applyFill="1" applyBorder="1" applyAlignment="1">
      <alignment horizontal="center" vertical="center" shrinkToFit="1"/>
    </xf>
    <xf numFmtId="0" fontId="16" fillId="24" borderId="0" xfId="5" applyFont="1" applyFill="1" applyAlignment="1">
      <alignment vertical="top"/>
    </xf>
    <xf numFmtId="0" fontId="16" fillId="24" borderId="20" xfId="5" applyFont="1" applyFill="1" applyBorder="1" applyAlignment="1">
      <alignment horizontal="center" vertical="top"/>
    </xf>
    <xf numFmtId="2" fontId="16" fillId="24" borderId="4" xfId="5" applyNumberFormat="1" applyFont="1" applyFill="1" applyBorder="1" applyAlignment="1">
      <alignment vertical="top" shrinkToFit="1"/>
    </xf>
    <xf numFmtId="2" fontId="15" fillId="24" borderId="0" xfId="5" applyNumberFormat="1" applyFont="1" applyFill="1" applyAlignment="1">
      <alignment vertical="top"/>
    </xf>
    <xf numFmtId="0" fontId="16" fillId="24" borderId="0" xfId="5" applyFont="1" applyFill="1" applyAlignment="1">
      <alignment horizontal="center" vertical="center" shrinkToFit="1"/>
    </xf>
    <xf numFmtId="2" fontId="16" fillId="24" borderId="0" xfId="5" applyNumberFormat="1" applyFont="1" applyFill="1" applyAlignment="1">
      <alignment horizontal="center" vertical="center"/>
    </xf>
    <xf numFmtId="2" fontId="16" fillId="24" borderId="0" xfId="5" applyNumberFormat="1" applyFont="1" applyFill="1" applyAlignment="1">
      <alignment horizontal="center" vertical="center" shrinkToFit="1"/>
    </xf>
    <xf numFmtId="2" fontId="16" fillId="24" borderId="9" xfId="5" applyNumberFormat="1" applyFont="1" applyFill="1" applyBorder="1" applyAlignment="1">
      <alignment vertical="top" shrinkToFit="1"/>
    </xf>
    <xf numFmtId="2" fontId="16" fillId="24" borderId="18" xfId="5" applyNumberFormat="1" applyFont="1" applyFill="1" applyBorder="1" applyAlignment="1">
      <alignment vertical="center" shrinkToFit="1"/>
    </xf>
    <xf numFmtId="0" fontId="16" fillId="24" borderId="21" xfId="5" applyFont="1" applyFill="1" applyBorder="1" applyAlignment="1">
      <alignment horizontal="center" vertical="top"/>
    </xf>
    <xf numFmtId="0" fontId="16" fillId="24" borderId="1" xfId="5" applyFont="1" applyFill="1" applyBorder="1" applyAlignment="1">
      <alignment vertical="top"/>
    </xf>
    <xf numFmtId="0" fontId="10" fillId="24" borderId="14" xfId="5" applyFont="1" applyFill="1" applyBorder="1" applyAlignment="1">
      <alignment vertical="top"/>
    </xf>
    <xf numFmtId="2" fontId="16" fillId="24" borderId="14" xfId="5" applyNumberFormat="1" applyFont="1" applyFill="1" applyBorder="1" applyAlignment="1">
      <alignment horizontal="center" vertical="center" shrinkToFit="1"/>
    </xf>
    <xf numFmtId="2" fontId="16" fillId="24" borderId="1" xfId="5" applyNumberFormat="1" applyFont="1" applyFill="1" applyBorder="1" applyAlignment="1">
      <alignment vertical="top"/>
    </xf>
    <xf numFmtId="2" fontId="16" fillId="24" borderId="1" xfId="5" applyNumberFormat="1" applyFont="1" applyFill="1" applyBorder="1" applyAlignment="1">
      <alignment vertical="top" shrinkToFit="1"/>
    </xf>
    <xf numFmtId="2" fontId="16" fillId="24" borderId="10" xfId="5" applyNumberFormat="1" applyFont="1" applyFill="1" applyBorder="1" applyAlignment="1">
      <alignment vertical="top"/>
    </xf>
    <xf numFmtId="2" fontId="16" fillId="24" borderId="11" xfId="5" applyNumberFormat="1" applyFont="1" applyFill="1" applyBorder="1" applyAlignment="1">
      <alignment vertical="top"/>
    </xf>
    <xf numFmtId="0" fontId="2" fillId="24" borderId="40" xfId="5" applyNumberFormat="1" applyFont="1" applyFill="1" applyBorder="1" applyAlignment="1">
      <alignment horizontal="center" vertical="top" shrinkToFit="1"/>
    </xf>
    <xf numFmtId="49" fontId="2" fillId="24" borderId="4" xfId="5" applyNumberFormat="1" applyFont="1" applyFill="1" applyBorder="1" applyAlignment="1">
      <alignment horizontal="center" vertical="top" wrapText="1"/>
    </xf>
    <xf numFmtId="0" fontId="2" fillId="24" borderId="4" xfId="5" applyNumberFormat="1" applyFont="1" applyFill="1" applyBorder="1" applyAlignment="1">
      <alignment horizontal="center" vertical="center"/>
    </xf>
    <xf numFmtId="2" fontId="2" fillId="24" borderId="4" xfId="5" applyNumberFormat="1" applyFont="1" applyFill="1" applyBorder="1" applyAlignment="1">
      <alignment vertical="top"/>
    </xf>
    <xf numFmtId="2" fontId="2" fillId="24" borderId="4" xfId="5" applyNumberFormat="1" applyFont="1" applyFill="1" applyBorder="1" applyAlignment="1">
      <alignment vertical="top" shrinkToFit="1"/>
    </xf>
    <xf numFmtId="2" fontId="2" fillId="24" borderId="23" xfId="5" applyNumberFormat="1" applyFont="1" applyFill="1" applyBorder="1" applyAlignment="1">
      <alignment vertical="top"/>
    </xf>
    <xf numFmtId="2" fontId="2" fillId="24" borderId="29" xfId="5" applyNumberFormat="1" applyFont="1" applyFill="1" applyBorder="1" applyAlignment="1">
      <alignment vertical="top"/>
    </xf>
    <xf numFmtId="2" fontId="5" fillId="24" borderId="38" xfId="5" applyNumberFormat="1" applyFont="1" applyFill="1" applyBorder="1" applyAlignment="1">
      <alignment vertical="top"/>
    </xf>
    <xf numFmtId="0" fontId="2" fillId="24" borderId="3" xfId="5" applyNumberFormat="1" applyFont="1" applyFill="1" applyBorder="1" applyAlignment="1">
      <alignment horizontal="center" vertical="center" shrinkToFit="1"/>
    </xf>
    <xf numFmtId="2" fontId="2" fillId="24" borderId="3" xfId="5" applyNumberFormat="1" applyFont="1" applyFill="1" applyBorder="1" applyAlignment="1">
      <alignment horizontal="center" vertical="top"/>
    </xf>
    <xf numFmtId="2" fontId="2" fillId="24" borderId="3" xfId="5" applyNumberFormat="1" applyFont="1" applyFill="1" applyBorder="1" applyAlignment="1">
      <alignment horizontal="center" vertical="top" shrinkToFit="1"/>
    </xf>
    <xf numFmtId="2" fontId="2" fillId="24" borderId="3" xfId="5" applyNumberFormat="1" applyFont="1" applyFill="1" applyBorder="1" applyAlignment="1">
      <alignment vertical="top"/>
    </xf>
    <xf numFmtId="2" fontId="2" fillId="24" borderId="22" xfId="5" applyNumberFormat="1" applyFont="1" applyFill="1" applyBorder="1" applyAlignment="1">
      <alignment vertical="top" shrinkToFit="1"/>
    </xf>
    <xf numFmtId="2" fontId="2" fillId="24" borderId="2" xfId="5" applyNumberFormat="1" applyFont="1" applyFill="1" applyBorder="1" applyAlignment="1">
      <alignment horizontal="center" vertical="center" shrinkToFit="1"/>
    </xf>
    <xf numFmtId="0" fontId="2" fillId="24" borderId="0" xfId="5" applyNumberFormat="1" applyFont="1" applyFill="1" applyAlignment="1">
      <alignment vertical="top"/>
    </xf>
    <xf numFmtId="0" fontId="2" fillId="24" borderId="20" xfId="5" applyNumberFormat="1" applyFont="1" applyFill="1" applyBorder="1" applyAlignment="1">
      <alignment horizontal="center" vertical="top"/>
    </xf>
    <xf numFmtId="49" fontId="2" fillId="24" borderId="0" xfId="5" applyNumberFormat="1" applyFont="1" applyFill="1" applyBorder="1" applyAlignment="1">
      <alignment horizontal="center" vertical="top" wrapText="1"/>
    </xf>
    <xf numFmtId="0" fontId="2" fillId="24" borderId="0" xfId="5" applyNumberFormat="1" applyFont="1" applyFill="1" applyBorder="1" applyAlignment="1">
      <alignment horizontal="center" vertical="center"/>
    </xf>
    <xf numFmtId="2" fontId="2" fillId="24" borderId="0" xfId="5" applyNumberFormat="1" applyFont="1" applyFill="1" applyBorder="1" applyAlignment="1">
      <alignment vertical="top"/>
    </xf>
    <xf numFmtId="2" fontId="16" fillId="24" borderId="0" xfId="5" applyNumberFormat="1" applyFont="1" applyFill="1" applyBorder="1" applyAlignment="1">
      <alignment vertical="top"/>
    </xf>
    <xf numFmtId="2" fontId="2" fillId="24" borderId="9" xfId="5" applyNumberFormat="1" applyFont="1" applyFill="1" applyBorder="1" applyAlignment="1">
      <alignment vertical="top"/>
    </xf>
    <xf numFmtId="0" fontId="2" fillId="24" borderId="35" xfId="5" applyNumberFormat="1" applyFont="1" applyFill="1" applyBorder="1" applyAlignment="1">
      <alignment horizontal="center" vertical="center" shrinkToFit="1"/>
    </xf>
    <xf numFmtId="2" fontId="2" fillId="24" borderId="35" xfId="5" applyNumberFormat="1" applyFont="1" applyFill="1" applyBorder="1" applyAlignment="1">
      <alignment horizontal="center" vertical="top" shrinkToFit="1"/>
    </xf>
    <xf numFmtId="2" fontId="2" fillId="24" borderId="33" xfId="5" applyNumberFormat="1" applyFont="1" applyFill="1" applyBorder="1" applyAlignment="1">
      <alignment vertical="top" shrinkToFit="1"/>
    </xf>
    <xf numFmtId="2" fontId="16" fillId="24" borderId="31" xfId="5" applyNumberFormat="1" applyFont="1" applyFill="1" applyBorder="1" applyAlignment="1">
      <alignment vertical="top" shrinkToFit="1"/>
    </xf>
    <xf numFmtId="0" fontId="2" fillId="24" borderId="21" xfId="5" applyNumberFormat="1" applyFont="1" applyFill="1" applyBorder="1" applyAlignment="1">
      <alignment horizontal="center" vertical="top"/>
    </xf>
    <xf numFmtId="0" fontId="2" fillId="24" borderId="1" xfId="5" applyNumberFormat="1" applyFont="1" applyFill="1" applyBorder="1" applyAlignment="1">
      <alignment vertical="top"/>
    </xf>
    <xf numFmtId="0" fontId="6" fillId="24" borderId="14" xfId="5" applyNumberFormat="1" applyFont="1" applyFill="1" applyBorder="1" applyAlignment="1">
      <alignment vertical="top"/>
    </xf>
    <xf numFmtId="0" fontId="2" fillId="24" borderId="1" xfId="5" applyNumberFormat="1" applyFont="1" applyFill="1" applyBorder="1" applyAlignment="1">
      <alignment horizontal="center" vertical="center"/>
    </xf>
    <xf numFmtId="2" fontId="2" fillId="24" borderId="14" xfId="5" applyNumberFormat="1" applyFont="1" applyFill="1" applyBorder="1" applyAlignment="1">
      <alignment horizontal="center" vertical="center" shrinkToFit="1"/>
    </xf>
    <xf numFmtId="2" fontId="2" fillId="24" borderId="1" xfId="5" applyNumberFormat="1" applyFont="1" applyFill="1" applyBorder="1" applyAlignment="1">
      <alignment vertical="top"/>
    </xf>
    <xf numFmtId="2" fontId="2" fillId="24" borderId="1" xfId="5" applyNumberFormat="1" applyFont="1" applyFill="1" applyBorder="1" applyAlignment="1">
      <alignment vertical="top" shrinkToFit="1"/>
    </xf>
    <xf numFmtId="2" fontId="2" fillId="24" borderId="10" xfId="5" applyNumberFormat="1" applyFont="1" applyFill="1" applyBorder="1" applyAlignment="1">
      <alignment vertical="top"/>
    </xf>
    <xf numFmtId="2" fontId="2" fillId="24" borderId="11" xfId="5" applyNumberFormat="1" applyFont="1" applyFill="1" applyBorder="1" applyAlignment="1">
      <alignment vertical="top"/>
    </xf>
    <xf numFmtId="2" fontId="5" fillId="24" borderId="1" xfId="5" applyNumberFormat="1" applyFont="1" applyFill="1" applyBorder="1" applyAlignment="1">
      <alignment vertical="top"/>
    </xf>
    <xf numFmtId="0" fontId="2" fillId="24" borderId="1" xfId="5" applyNumberFormat="1" applyFont="1" applyFill="1" applyBorder="1" applyAlignment="1">
      <alignment horizontal="center" vertical="center" shrinkToFit="1"/>
    </xf>
    <xf numFmtId="2" fontId="2" fillId="24" borderId="1" xfId="5" applyNumberFormat="1" applyFont="1" applyFill="1" applyBorder="1" applyAlignment="1">
      <alignment horizontal="center" vertical="top"/>
    </xf>
    <xf numFmtId="2" fontId="2" fillId="24" borderId="1" xfId="5" applyNumberFormat="1" applyFont="1" applyFill="1" applyBorder="1" applyAlignment="1">
      <alignment horizontal="center" vertical="top" shrinkToFit="1"/>
    </xf>
    <xf numFmtId="2" fontId="2" fillId="24" borderId="11" xfId="5" applyNumberFormat="1" applyFont="1" applyFill="1" applyBorder="1" applyAlignment="1">
      <alignment vertical="top" shrinkToFit="1"/>
    </xf>
    <xf numFmtId="2" fontId="2" fillId="24" borderId="49" xfId="5" applyNumberFormat="1" applyFont="1" applyFill="1" applyBorder="1" applyAlignment="1">
      <alignment vertical="center" shrinkToFit="1"/>
    </xf>
    <xf numFmtId="2" fontId="15" fillId="24" borderId="4" xfId="5" applyNumberFormat="1" applyFont="1" applyFill="1" applyBorder="1" applyAlignment="1">
      <alignment vertical="top"/>
    </xf>
    <xf numFmtId="0" fontId="16" fillId="24" borderId="4" xfId="5" applyFont="1" applyFill="1" applyBorder="1" applyAlignment="1">
      <alignment horizontal="center" vertical="center" shrinkToFit="1"/>
    </xf>
    <xf numFmtId="2" fontId="16" fillId="24" borderId="4" xfId="5" applyNumberFormat="1" applyFont="1" applyFill="1" applyBorder="1" applyAlignment="1">
      <alignment horizontal="center" vertical="center"/>
    </xf>
    <xf numFmtId="2" fontId="16" fillId="24" borderId="4" xfId="5" applyNumberFormat="1" applyFont="1" applyFill="1" applyBorder="1" applyAlignment="1">
      <alignment vertical="top"/>
    </xf>
    <xf numFmtId="2" fontId="16" fillId="24" borderId="29" xfId="5" applyNumberFormat="1" applyFont="1" applyFill="1" applyBorder="1" applyAlignment="1">
      <alignment vertical="top" shrinkToFit="1"/>
    </xf>
    <xf numFmtId="49" fontId="15" fillId="24" borderId="25" xfId="5" applyNumberFormat="1" applyFont="1" applyFill="1" applyBorder="1" applyAlignment="1">
      <alignment horizontal="left" vertical="top" wrapText="1"/>
    </xf>
    <xf numFmtId="0" fontId="16" fillId="24" borderId="26" xfId="5" applyFont="1" applyFill="1" applyBorder="1" applyAlignment="1">
      <alignment horizontal="center" vertical="center" shrinkToFit="1"/>
    </xf>
    <xf numFmtId="2" fontId="16" fillId="24" borderId="26" xfId="5" applyNumberFormat="1" applyFont="1" applyFill="1" applyBorder="1" applyAlignment="1">
      <alignment horizontal="center" vertical="center" shrinkToFit="1"/>
    </xf>
    <xf numFmtId="2" fontId="16" fillId="24" borderId="26" xfId="5" applyNumberFormat="1" applyFont="1" applyFill="1" applyBorder="1" applyAlignment="1">
      <alignment horizontal="center" vertical="center"/>
    </xf>
    <xf numFmtId="2" fontId="16" fillId="24" borderId="26" xfId="5" applyNumberFormat="1" applyFont="1" applyFill="1" applyBorder="1" applyAlignment="1">
      <alignment vertical="top" shrinkToFit="1"/>
    </xf>
    <xf numFmtId="0" fontId="16" fillId="24" borderId="40" xfId="5" applyFont="1" applyFill="1" applyBorder="1" applyAlignment="1">
      <alignment horizontal="center" vertical="top" shrinkToFit="1"/>
    </xf>
    <xf numFmtId="2" fontId="16" fillId="24" borderId="23" xfId="5" applyNumberFormat="1" applyFont="1" applyFill="1" applyBorder="1" applyAlignment="1">
      <alignment vertical="top"/>
    </xf>
    <xf numFmtId="2" fontId="16" fillId="24" borderId="29" xfId="5" applyNumberFormat="1" applyFont="1" applyFill="1" applyBorder="1" applyAlignment="1">
      <alignment vertical="top"/>
    </xf>
    <xf numFmtId="2" fontId="15" fillId="24" borderId="1" xfId="5" applyNumberFormat="1" applyFont="1" applyFill="1" applyBorder="1" applyAlignment="1">
      <alignment vertical="top"/>
    </xf>
    <xf numFmtId="0" fontId="16" fillId="24" borderId="1" xfId="5" applyFont="1" applyFill="1" applyBorder="1" applyAlignment="1">
      <alignment horizontal="center" vertical="center" shrinkToFit="1"/>
    </xf>
    <xf numFmtId="2" fontId="16" fillId="24" borderId="1" xfId="5" applyNumberFormat="1" applyFont="1" applyFill="1" applyBorder="1" applyAlignment="1">
      <alignment horizontal="center" vertical="center"/>
    </xf>
    <xf numFmtId="2" fontId="16" fillId="24" borderId="11" xfId="5" applyNumberFormat="1" applyFont="1" applyFill="1" applyBorder="1" applyAlignment="1">
      <alignment vertical="top" shrinkToFit="1"/>
    </xf>
    <xf numFmtId="2" fontId="16" fillId="24" borderId="49" xfId="5" applyNumberFormat="1" applyFont="1" applyFill="1" applyBorder="1" applyAlignment="1">
      <alignment vertical="center" shrinkToFit="1"/>
    </xf>
    <xf numFmtId="0" fontId="16" fillId="24" borderId="28" xfId="5" applyFont="1" applyFill="1" applyBorder="1" applyAlignment="1">
      <alignment horizontal="center" vertical="center" shrinkToFit="1"/>
    </xf>
    <xf numFmtId="2" fontId="16" fillId="24" borderId="28" xfId="5" applyNumberFormat="1" applyFont="1" applyFill="1" applyBorder="1" applyAlignment="1">
      <alignment horizontal="center" vertical="center" shrinkToFit="1"/>
    </xf>
    <xf numFmtId="2" fontId="16" fillId="24" borderId="28" xfId="5" applyNumberFormat="1" applyFont="1" applyFill="1" applyBorder="1" applyAlignment="1">
      <alignment horizontal="center" vertical="center"/>
    </xf>
    <xf numFmtId="2" fontId="16" fillId="24" borderId="28" xfId="5" applyNumberFormat="1" applyFont="1" applyFill="1" applyBorder="1" applyAlignment="1">
      <alignment vertical="top" shrinkToFit="1"/>
    </xf>
    <xf numFmtId="2" fontId="16" fillId="24" borderId="30" xfId="5" applyNumberFormat="1" applyFont="1" applyFill="1" applyBorder="1" applyAlignment="1">
      <alignment vertical="top" shrinkToFit="1"/>
    </xf>
    <xf numFmtId="0" fontId="16" fillId="24" borderId="0" xfId="5" applyFont="1" applyFill="1" applyBorder="1" applyAlignment="1">
      <alignment vertical="top"/>
    </xf>
    <xf numFmtId="2" fontId="16" fillId="24" borderId="0" xfId="5" applyNumberFormat="1" applyFont="1" applyFill="1" applyBorder="1" applyAlignment="1">
      <alignment vertical="top" shrinkToFit="1"/>
    </xf>
    <xf numFmtId="0" fontId="16" fillId="24" borderId="35" xfId="5" applyFont="1" applyFill="1" applyBorder="1" applyAlignment="1">
      <alignment horizontal="center" vertical="center" shrinkToFit="1"/>
    </xf>
    <xf numFmtId="2" fontId="16" fillId="24" borderId="35" xfId="5" applyNumberFormat="1" applyFont="1" applyFill="1" applyBorder="1" applyAlignment="1">
      <alignment horizontal="center" vertical="center"/>
    </xf>
    <xf numFmtId="2" fontId="16" fillId="24" borderId="35" xfId="5" applyNumberFormat="1" applyFont="1" applyFill="1" applyBorder="1" applyAlignment="1">
      <alignment vertical="top"/>
    </xf>
    <xf numFmtId="2" fontId="16" fillId="24" borderId="37" xfId="5" applyNumberFormat="1" applyFont="1" applyFill="1" applyBorder="1" applyAlignment="1">
      <alignment vertical="top" shrinkToFit="1"/>
    </xf>
    <xf numFmtId="164" fontId="16" fillId="24" borderId="12" xfId="5" applyNumberFormat="1" applyFont="1" applyFill="1" applyBorder="1" applyAlignment="1">
      <alignment horizontal="center" vertical="center" shrinkToFit="1"/>
    </xf>
    <xf numFmtId="2" fontId="15" fillId="24" borderId="0" xfId="5" applyNumberFormat="1" applyFont="1" applyFill="1" applyAlignment="1">
      <alignment vertical="top" wrapText="1"/>
    </xf>
    <xf numFmtId="166" fontId="16" fillId="24" borderId="13" xfId="5" applyNumberFormat="1" applyFont="1" applyFill="1" applyBorder="1" applyAlignment="1">
      <alignment horizontal="center" vertical="center" shrinkToFit="1"/>
    </xf>
    <xf numFmtId="0" fontId="16" fillId="24" borderId="26" xfId="5" applyFont="1" applyFill="1" applyBorder="1" applyAlignment="1">
      <alignment horizontal="center" vertical="top" shrinkToFit="1"/>
    </xf>
    <xf numFmtId="2" fontId="16" fillId="24" borderId="26" xfId="5" applyNumberFormat="1" applyFont="1" applyFill="1" applyBorder="1" applyAlignment="1">
      <alignment horizontal="center" vertical="top" shrinkToFit="1"/>
    </xf>
    <xf numFmtId="2" fontId="16" fillId="24" borderId="26" xfId="5" applyNumberFormat="1" applyFont="1" applyFill="1" applyBorder="1" applyAlignment="1">
      <alignment horizontal="center" vertical="top"/>
    </xf>
    <xf numFmtId="2" fontId="16" fillId="24" borderId="4" xfId="5" applyNumberFormat="1" applyFont="1" applyFill="1" applyBorder="1" applyAlignment="1">
      <alignment horizontal="center" vertical="center" shrinkToFit="1"/>
    </xf>
    <xf numFmtId="2" fontId="16" fillId="24" borderId="13" xfId="5" applyNumberFormat="1" applyFont="1" applyFill="1" applyBorder="1" applyAlignment="1">
      <alignment horizontal="center" vertical="top" shrinkToFit="1"/>
    </xf>
    <xf numFmtId="164" fontId="16" fillId="24" borderId="13" xfId="5" applyNumberFormat="1" applyFont="1" applyFill="1" applyBorder="1" applyAlignment="1">
      <alignment horizontal="center" vertical="center" shrinkToFit="1"/>
    </xf>
    <xf numFmtId="0" fontId="11" fillId="24" borderId="46" xfId="5" applyFont="1" applyFill="1" applyBorder="1" applyAlignment="1">
      <alignment horizontal="center" vertical="top"/>
    </xf>
    <xf numFmtId="0" fontId="11" fillId="24" borderId="3" xfId="5" applyFont="1" applyFill="1" applyBorder="1" applyAlignment="1">
      <alignment vertical="top"/>
    </xf>
    <xf numFmtId="0" fontId="43" fillId="24" borderId="22" xfId="5" applyFont="1" applyFill="1" applyBorder="1" applyAlignment="1">
      <alignment vertical="top"/>
    </xf>
    <xf numFmtId="0" fontId="11" fillId="24" borderId="3" xfId="5" applyFont="1" applyFill="1" applyBorder="1" applyAlignment="1">
      <alignment horizontal="center" vertical="center"/>
    </xf>
    <xf numFmtId="2" fontId="11" fillId="24" borderId="38" xfId="5" applyNumberFormat="1" applyFont="1" applyFill="1" applyBorder="1" applyAlignment="1">
      <alignment horizontal="center" vertical="center" shrinkToFit="1"/>
    </xf>
    <xf numFmtId="2" fontId="11" fillId="24" borderId="3" xfId="5" applyNumberFormat="1" applyFont="1" applyFill="1" applyBorder="1" applyAlignment="1">
      <alignment vertical="top"/>
    </xf>
    <xf numFmtId="2" fontId="11" fillId="24" borderId="3" xfId="5" applyNumberFormat="1" applyFont="1" applyFill="1" applyBorder="1" applyAlignment="1">
      <alignment vertical="top" shrinkToFit="1"/>
    </xf>
    <xf numFmtId="2" fontId="43" fillId="24" borderId="3" xfId="5" applyNumberFormat="1" applyFont="1" applyFill="1" applyBorder="1" applyAlignment="1">
      <alignment vertical="top"/>
    </xf>
    <xf numFmtId="0" fontId="11" fillId="24" borderId="3" xfId="5" applyFont="1" applyFill="1" applyBorder="1" applyAlignment="1">
      <alignment horizontal="center" vertical="center" shrinkToFit="1"/>
    </xf>
    <xf numFmtId="2" fontId="11" fillId="24" borderId="3" xfId="5" applyNumberFormat="1" applyFont="1" applyFill="1" applyBorder="1" applyAlignment="1">
      <alignment horizontal="center" vertical="center"/>
    </xf>
    <xf numFmtId="2" fontId="11" fillId="24" borderId="3" xfId="5" applyNumberFormat="1" applyFont="1" applyFill="1" applyBorder="1" applyAlignment="1">
      <alignment horizontal="center" vertical="center" shrinkToFit="1"/>
    </xf>
    <xf numFmtId="0" fontId="16" fillId="24" borderId="47" xfId="5" applyFont="1" applyFill="1" applyBorder="1" applyAlignment="1">
      <alignment horizontal="center" vertical="top"/>
    </xf>
    <xf numFmtId="0" fontId="10" fillId="24" borderId="9" xfId="5" applyFont="1" applyFill="1" applyBorder="1" applyAlignment="1">
      <alignment vertical="top"/>
    </xf>
    <xf numFmtId="10" fontId="16" fillId="24" borderId="0" xfId="5" applyNumberFormat="1" applyFont="1" applyFill="1" applyAlignment="1">
      <alignment horizontal="center" vertical="center"/>
    </xf>
    <xf numFmtId="2" fontId="16" fillId="24" borderId="8" xfId="5" applyNumberFormat="1" applyFont="1" applyFill="1" applyBorder="1" applyAlignment="1">
      <alignment horizontal="center" vertical="center" shrinkToFit="1"/>
    </xf>
    <xf numFmtId="2" fontId="16" fillId="24" borderId="42" xfId="5" applyNumberFormat="1" applyFont="1" applyFill="1" applyBorder="1" applyAlignment="1">
      <alignment vertical="center" shrinkToFit="1"/>
    </xf>
    <xf numFmtId="0" fontId="12" fillId="24" borderId="48" xfId="5" applyFont="1" applyFill="1" applyBorder="1" applyAlignment="1">
      <alignment horizontal="right" vertical="center"/>
    </xf>
    <xf numFmtId="0" fontId="12" fillId="24" borderId="24" xfId="5" applyFont="1" applyFill="1" applyBorder="1" applyAlignment="1">
      <alignment horizontal="right" vertical="center"/>
    </xf>
    <xf numFmtId="0" fontId="12" fillId="24" borderId="41" xfId="5" applyFont="1" applyFill="1" applyBorder="1" applyAlignment="1">
      <alignment horizontal="right" vertical="center"/>
    </xf>
    <xf numFmtId="2" fontId="12" fillId="24" borderId="39" xfId="5" applyNumberFormat="1" applyFont="1" applyFill="1" applyBorder="1" applyAlignment="1">
      <alignment horizontal="right" vertical="center" shrinkToFit="1"/>
    </xf>
    <xf numFmtId="2" fontId="12" fillId="24" borderId="24" xfId="5" applyNumberFormat="1" applyFont="1" applyFill="1" applyBorder="1" applyAlignment="1">
      <alignment horizontal="right" vertical="center"/>
    </xf>
    <xf numFmtId="2" fontId="12" fillId="24" borderId="24" xfId="5" applyNumberFormat="1" applyFont="1" applyFill="1" applyBorder="1" applyAlignment="1">
      <alignment horizontal="right" vertical="center" shrinkToFit="1"/>
    </xf>
    <xf numFmtId="0" fontId="12" fillId="24" borderId="24" xfId="5" applyFont="1" applyFill="1" applyBorder="1" applyAlignment="1">
      <alignment horizontal="right" vertical="center" shrinkToFit="1"/>
    </xf>
    <xf numFmtId="2" fontId="12" fillId="24" borderId="45" xfId="5" applyNumberFormat="1" applyFont="1" applyFill="1" applyBorder="1" applyAlignment="1">
      <alignment horizontal="right" vertical="center" shrinkToFit="1"/>
    </xf>
    <xf numFmtId="2" fontId="16" fillId="24" borderId="12" xfId="4" applyNumberFormat="1" applyFont="1" applyFill="1" applyBorder="1" applyAlignment="1">
      <alignment horizontal="center" vertical="center" shrinkToFit="1"/>
    </xf>
    <xf numFmtId="0" fontId="16" fillId="24" borderId="20" xfId="4" applyNumberFormat="1" applyFont="1" applyFill="1" applyBorder="1" applyAlignment="1">
      <alignment horizontal="center" vertical="top"/>
    </xf>
    <xf numFmtId="49" fontId="16" fillId="24" borderId="0" xfId="4" applyNumberFormat="1" applyFont="1" applyFill="1" applyBorder="1" applyAlignment="1">
      <alignment horizontal="center" vertical="top" wrapText="1"/>
    </xf>
    <xf numFmtId="0" fontId="16" fillId="24" borderId="0" xfId="4" applyNumberFormat="1" applyFont="1" applyFill="1" applyBorder="1" applyAlignment="1">
      <alignment horizontal="center" vertical="center"/>
    </xf>
    <xf numFmtId="2" fontId="16" fillId="24" borderId="13" xfId="4" applyNumberFormat="1" applyFont="1" applyFill="1" applyBorder="1" applyAlignment="1">
      <alignment horizontal="center" vertical="center" shrinkToFit="1"/>
    </xf>
    <xf numFmtId="2" fontId="16" fillId="24" borderId="0" xfId="4" applyNumberFormat="1" applyFont="1" applyFill="1" applyBorder="1" applyAlignment="1">
      <alignment vertical="top"/>
    </xf>
    <xf numFmtId="2" fontId="2" fillId="24" borderId="4" xfId="4" applyNumberFormat="1" applyFont="1" applyFill="1" applyBorder="1" applyAlignment="1">
      <alignment vertical="top" shrinkToFit="1"/>
    </xf>
    <xf numFmtId="2" fontId="16" fillId="24" borderId="8" xfId="4" applyNumberFormat="1" applyFont="1" applyFill="1" applyBorder="1" applyAlignment="1">
      <alignment vertical="top"/>
    </xf>
    <xf numFmtId="2" fontId="16" fillId="24" borderId="9" xfId="4" applyNumberFormat="1" applyFont="1" applyFill="1" applyBorder="1" applyAlignment="1">
      <alignment vertical="top"/>
    </xf>
    <xf numFmtId="2" fontId="15" fillId="24" borderId="0" xfId="4" applyNumberFormat="1" applyFont="1" applyFill="1" applyBorder="1" applyAlignment="1">
      <alignment vertical="top"/>
    </xf>
    <xf numFmtId="0" fontId="16" fillId="24" borderId="0" xfId="4" applyNumberFormat="1" applyFont="1" applyFill="1" applyBorder="1" applyAlignment="1">
      <alignment horizontal="center" vertical="center" shrinkToFit="1"/>
    </xf>
    <xf numFmtId="2" fontId="16" fillId="24" borderId="0" xfId="4" applyNumberFormat="1" applyFont="1" applyFill="1" applyBorder="1" applyAlignment="1">
      <alignment horizontal="center" vertical="center"/>
    </xf>
    <xf numFmtId="2" fontId="16" fillId="24" borderId="9" xfId="4" applyNumberFormat="1" applyFont="1" applyFill="1" applyBorder="1" applyAlignment="1">
      <alignment vertical="top" shrinkToFit="1"/>
    </xf>
    <xf numFmtId="2" fontId="16" fillId="24" borderId="18" xfId="4" applyNumberFormat="1" applyFont="1" applyFill="1" applyBorder="1" applyAlignment="1">
      <alignment vertical="center" shrinkToFit="1"/>
    </xf>
    <xf numFmtId="0" fontId="16" fillId="24" borderId="21" xfId="4" applyNumberFormat="1" applyFont="1" applyFill="1" applyBorder="1" applyAlignment="1">
      <alignment horizontal="center" vertical="top"/>
    </xf>
    <xf numFmtId="0" fontId="16" fillId="24" borderId="1" xfId="4" applyNumberFormat="1" applyFont="1" applyFill="1" applyBorder="1" applyAlignment="1">
      <alignment vertical="top"/>
    </xf>
    <xf numFmtId="0" fontId="10" fillId="24" borderId="14" xfId="4" applyNumberFormat="1" applyFont="1" applyFill="1" applyBorder="1" applyAlignment="1">
      <alignment vertical="top"/>
    </xf>
    <xf numFmtId="0" fontId="16" fillId="24" borderId="1" xfId="4" applyNumberFormat="1" applyFont="1" applyFill="1" applyBorder="1" applyAlignment="1">
      <alignment horizontal="center" vertical="center"/>
    </xf>
    <xf numFmtId="2" fontId="16" fillId="24" borderId="14" xfId="4" applyNumberFormat="1" applyFont="1" applyFill="1" applyBorder="1" applyAlignment="1">
      <alignment horizontal="center" vertical="center" shrinkToFit="1"/>
    </xf>
    <xf numFmtId="2" fontId="16" fillId="24" borderId="1" xfId="4" applyNumberFormat="1" applyFont="1" applyFill="1" applyBorder="1" applyAlignment="1">
      <alignment vertical="top"/>
    </xf>
    <xf numFmtId="2" fontId="16" fillId="24" borderId="1" xfId="4" applyNumberFormat="1" applyFont="1" applyFill="1" applyBorder="1" applyAlignment="1">
      <alignment vertical="top" shrinkToFit="1"/>
    </xf>
    <xf numFmtId="2" fontId="16" fillId="24" borderId="10" xfId="4" applyNumberFormat="1" applyFont="1" applyFill="1" applyBorder="1" applyAlignment="1">
      <alignment vertical="top"/>
    </xf>
    <xf numFmtId="2" fontId="16" fillId="24" borderId="11" xfId="4" applyNumberFormat="1" applyFont="1" applyFill="1" applyBorder="1" applyAlignment="1">
      <alignment vertical="top"/>
    </xf>
    <xf numFmtId="2" fontId="15" fillId="24" borderId="1" xfId="4" applyNumberFormat="1" applyFont="1" applyFill="1" applyBorder="1" applyAlignment="1">
      <alignment vertical="top"/>
    </xf>
    <xf numFmtId="0" fontId="16" fillId="24" borderId="1" xfId="4" applyNumberFormat="1" applyFont="1" applyFill="1" applyBorder="1" applyAlignment="1">
      <alignment horizontal="center" vertical="center" shrinkToFit="1"/>
    </xf>
    <xf numFmtId="2" fontId="16" fillId="24" borderId="1" xfId="4" applyNumberFormat="1" applyFont="1" applyFill="1" applyBorder="1" applyAlignment="1">
      <alignment horizontal="center" vertical="center"/>
    </xf>
    <xf numFmtId="2" fontId="16" fillId="24" borderId="11" xfId="4" applyNumberFormat="1" applyFont="1" applyFill="1" applyBorder="1" applyAlignment="1">
      <alignment vertical="top" shrinkToFit="1"/>
    </xf>
    <xf numFmtId="2" fontId="16" fillId="24" borderId="49" xfId="4" applyNumberFormat="1" applyFont="1" applyFill="1" applyBorder="1" applyAlignment="1">
      <alignment vertical="center" shrinkToFit="1"/>
    </xf>
    <xf numFmtId="0" fontId="16" fillId="24" borderId="20" xfId="5" applyNumberFormat="1" applyFont="1" applyFill="1" applyBorder="1" applyAlignment="1">
      <alignment horizontal="center" vertical="top" shrinkToFit="1"/>
    </xf>
    <xf numFmtId="0" fontId="16" fillId="24" borderId="0" xfId="5" applyNumberFormat="1" applyFont="1" applyFill="1" applyAlignment="1">
      <alignment horizontal="center" vertical="center"/>
    </xf>
    <xf numFmtId="0" fontId="16" fillId="24" borderId="3" xfId="5" applyNumberFormat="1" applyFont="1" applyFill="1" applyBorder="1" applyAlignment="1">
      <alignment horizontal="center" vertical="center" shrinkToFit="1"/>
    </xf>
    <xf numFmtId="0" fontId="16" fillId="24" borderId="20" xfId="5" applyNumberFormat="1" applyFont="1" applyFill="1" applyBorder="1" applyAlignment="1">
      <alignment horizontal="center" vertical="top"/>
    </xf>
    <xf numFmtId="0" fontId="16" fillId="24" borderId="0" xfId="5" applyNumberFormat="1" applyFont="1" applyFill="1" applyAlignment="1">
      <alignment horizontal="center" vertical="center" shrinkToFit="1"/>
    </xf>
    <xf numFmtId="0" fontId="16" fillId="24" borderId="21" xfId="5" applyNumberFormat="1" applyFont="1" applyFill="1" applyBorder="1" applyAlignment="1">
      <alignment horizontal="center" vertical="top"/>
    </xf>
    <xf numFmtId="0" fontId="16" fillId="24" borderId="1" xfId="5" applyNumberFormat="1" applyFont="1" applyFill="1" applyBorder="1" applyAlignment="1">
      <alignment vertical="top"/>
    </xf>
    <xf numFmtId="0" fontId="10" fillId="24" borderId="14" xfId="5" applyNumberFormat="1" applyFont="1" applyFill="1" applyBorder="1" applyAlignment="1">
      <alignment vertical="top"/>
    </xf>
    <xf numFmtId="0" fontId="16" fillId="24" borderId="1" xfId="5" applyNumberFormat="1" applyFont="1" applyFill="1" applyBorder="1" applyAlignment="1">
      <alignment horizontal="center" vertical="center"/>
    </xf>
    <xf numFmtId="2" fontId="15" fillId="24" borderId="0" xfId="5" applyNumberFormat="1" applyFont="1" applyFill="1" applyBorder="1" applyAlignment="1">
      <alignment vertical="top"/>
    </xf>
    <xf numFmtId="0" fontId="16" fillId="24" borderId="0" xfId="5" applyNumberFormat="1" applyFont="1" applyFill="1" applyBorder="1" applyAlignment="1">
      <alignment horizontal="center" vertical="center" shrinkToFit="1"/>
    </xf>
    <xf numFmtId="2" fontId="16" fillId="24" borderId="0" xfId="5" applyNumberFormat="1" applyFont="1" applyFill="1" applyBorder="1" applyAlignment="1">
      <alignment horizontal="center" vertical="center"/>
    </xf>
    <xf numFmtId="0" fontId="2" fillId="24" borderId="20" xfId="5" applyNumberFormat="1" applyFont="1" applyFill="1" applyBorder="1" applyAlignment="1">
      <alignment horizontal="center" vertical="top" shrinkToFit="1"/>
    </xf>
    <xf numFmtId="49" fontId="2" fillId="24" borderId="0" xfId="5" applyNumberFormat="1" applyFont="1" applyFill="1" applyAlignment="1">
      <alignment horizontal="center" vertical="top" wrapText="1"/>
    </xf>
    <xf numFmtId="0" fontId="2" fillId="24" borderId="0" xfId="5" applyNumberFormat="1" applyFont="1" applyFill="1" applyAlignment="1">
      <alignment horizontal="center" vertical="center"/>
    </xf>
    <xf numFmtId="2" fontId="2" fillId="24" borderId="0" xfId="5" applyNumberFormat="1" applyFont="1" applyFill="1" applyAlignment="1">
      <alignment vertical="top"/>
    </xf>
    <xf numFmtId="2" fontId="2" fillId="24" borderId="0" xfId="5" applyNumberFormat="1" applyFont="1" applyFill="1" applyAlignment="1">
      <alignment vertical="top" shrinkToFit="1"/>
    </xf>
    <xf numFmtId="2" fontId="2" fillId="24" borderId="8" xfId="5" applyNumberFormat="1" applyFont="1" applyFill="1" applyBorder="1" applyAlignment="1">
      <alignment vertical="top"/>
    </xf>
    <xf numFmtId="2" fontId="2" fillId="24" borderId="0" xfId="5" applyNumberFormat="1" applyFont="1" applyFill="1" applyBorder="1" applyAlignment="1">
      <alignment vertical="top" shrinkToFit="1"/>
    </xf>
    <xf numFmtId="2" fontId="5" fillId="24" borderId="4" xfId="5" applyNumberFormat="1" applyFont="1" applyFill="1" applyBorder="1" applyAlignment="1">
      <alignment vertical="top"/>
    </xf>
    <xf numFmtId="0" fontId="2" fillId="24" borderId="4" xfId="5" applyNumberFormat="1" applyFont="1" applyFill="1" applyBorder="1" applyAlignment="1">
      <alignment horizontal="center" vertical="center" shrinkToFit="1"/>
    </xf>
    <xf numFmtId="2" fontId="2" fillId="24" borderId="4" xfId="5" applyNumberFormat="1" applyFont="1" applyFill="1" applyBorder="1" applyAlignment="1">
      <alignment horizontal="center" vertical="center"/>
    </xf>
    <xf numFmtId="2" fontId="2" fillId="24" borderId="29" xfId="5" applyNumberFormat="1" applyFont="1" applyFill="1" applyBorder="1" applyAlignment="1">
      <alignment vertical="top" shrinkToFit="1"/>
    </xf>
    <xf numFmtId="49" fontId="5" fillId="24" borderId="25" xfId="5" applyNumberFormat="1" applyFont="1" applyFill="1" applyBorder="1" applyAlignment="1">
      <alignment horizontal="left" vertical="top" wrapText="1"/>
    </xf>
    <xf numFmtId="0" fontId="2" fillId="24" borderId="26" xfId="5" applyNumberFormat="1" applyFont="1" applyFill="1" applyBorder="1" applyAlignment="1">
      <alignment horizontal="center" vertical="center" shrinkToFit="1"/>
    </xf>
    <xf numFmtId="2" fontId="2" fillId="24" borderId="26" xfId="5" applyNumberFormat="1" applyFont="1" applyFill="1" applyBorder="1" applyAlignment="1">
      <alignment horizontal="center" vertical="center" shrinkToFit="1"/>
    </xf>
    <xf numFmtId="2" fontId="2" fillId="24" borderId="26" xfId="5" applyNumberFormat="1" applyFont="1" applyFill="1" applyBorder="1" applyAlignment="1">
      <alignment horizontal="center" vertical="center"/>
    </xf>
    <xf numFmtId="2" fontId="2" fillId="24" borderId="26" xfId="5" applyNumberFormat="1" applyFont="1" applyFill="1" applyBorder="1" applyAlignment="1">
      <alignment vertical="top" shrinkToFit="1"/>
    </xf>
    <xf numFmtId="2" fontId="2" fillId="24" borderId="31" xfId="5" applyNumberFormat="1" applyFont="1" applyFill="1" applyBorder="1" applyAlignment="1">
      <alignment vertical="top" shrinkToFit="1"/>
    </xf>
    <xf numFmtId="2" fontId="5" fillId="24" borderId="0" xfId="5" applyNumberFormat="1" applyFont="1" applyFill="1" applyAlignment="1">
      <alignment vertical="top"/>
    </xf>
    <xf numFmtId="0" fontId="2" fillId="24" borderId="0" xfId="5" applyNumberFormat="1" applyFont="1" applyFill="1" applyAlignment="1">
      <alignment horizontal="center" vertical="center" shrinkToFit="1"/>
    </xf>
    <xf numFmtId="2" fontId="2" fillId="24" borderId="0" xfId="5" applyNumberFormat="1" applyFont="1" applyFill="1" applyAlignment="1">
      <alignment horizontal="center" vertical="center"/>
    </xf>
    <xf numFmtId="2" fontId="2" fillId="24" borderId="9" xfId="5" applyNumberFormat="1" applyFont="1" applyFill="1" applyBorder="1" applyAlignment="1">
      <alignment vertical="top" shrinkToFit="1"/>
    </xf>
    <xf numFmtId="2" fontId="2" fillId="24" borderId="18" xfId="5" applyNumberFormat="1" applyFont="1" applyFill="1" applyBorder="1" applyAlignment="1">
      <alignment vertical="center" shrinkToFit="1"/>
    </xf>
    <xf numFmtId="2" fontId="5" fillId="24" borderId="0" xfId="5" applyNumberFormat="1" applyFont="1" applyFill="1" applyBorder="1" applyAlignment="1">
      <alignment vertical="top"/>
    </xf>
    <xf numFmtId="0" fontId="2" fillId="24" borderId="0" xfId="5" applyNumberFormat="1" applyFont="1" applyFill="1" applyBorder="1" applyAlignment="1">
      <alignment horizontal="center" vertical="center" shrinkToFit="1"/>
    </xf>
    <xf numFmtId="2" fontId="2" fillId="24" borderId="0" xfId="5" applyNumberFormat="1" applyFont="1" applyFill="1" applyBorder="1" applyAlignment="1">
      <alignment horizontal="center" vertical="center"/>
    </xf>
    <xf numFmtId="167" fontId="2" fillId="24" borderId="13" xfId="5" applyNumberFormat="1" applyFont="1" applyFill="1" applyBorder="1" applyAlignment="1">
      <alignment horizontal="center" vertical="center" shrinkToFit="1"/>
    </xf>
    <xf numFmtId="2" fontId="5" fillId="24" borderId="3" xfId="5" applyNumberFormat="1" applyFont="1" applyFill="1" applyBorder="1" applyAlignment="1">
      <alignment vertical="top"/>
    </xf>
    <xf numFmtId="2" fontId="2" fillId="24" borderId="3" xfId="5" applyNumberFormat="1" applyFont="1" applyFill="1" applyBorder="1" applyAlignment="1">
      <alignment horizontal="center" vertical="center"/>
    </xf>
    <xf numFmtId="2" fontId="2" fillId="24" borderId="3" xfId="5" applyNumberFormat="1" applyFont="1" applyFill="1" applyBorder="1" applyAlignment="1">
      <alignment horizontal="center" vertical="center" shrinkToFit="1"/>
    </xf>
    <xf numFmtId="2" fontId="2" fillId="24" borderId="0" xfId="5" applyNumberFormat="1" applyFont="1" applyFill="1" applyBorder="1" applyAlignment="1">
      <alignment horizontal="center" vertical="center" shrinkToFit="1"/>
    </xf>
    <xf numFmtId="0" fontId="2" fillId="24" borderId="0" xfId="5" applyNumberFormat="1" applyFont="1" applyFill="1" applyBorder="1" applyAlignment="1">
      <alignment vertical="top"/>
    </xf>
    <xf numFmtId="2" fontId="2" fillId="24" borderId="3" xfId="5" applyNumberFormat="1" applyFont="1" applyFill="1" applyBorder="1" applyAlignment="1">
      <alignment vertical="top" shrinkToFit="1"/>
    </xf>
    <xf numFmtId="0" fontId="2" fillId="24" borderId="40" xfId="4" applyNumberFormat="1" applyFont="1" applyFill="1" applyBorder="1" applyAlignment="1">
      <alignment horizontal="center" vertical="top" shrinkToFit="1"/>
    </xf>
    <xf numFmtId="0" fontId="2" fillId="24" borderId="4" xfId="4" applyNumberFormat="1" applyFont="1" applyFill="1" applyBorder="1" applyAlignment="1">
      <alignment horizontal="center" vertical="center"/>
    </xf>
    <xf numFmtId="2" fontId="2" fillId="24" borderId="4" xfId="4" applyNumberFormat="1" applyFont="1" applyFill="1" applyBorder="1" applyAlignment="1">
      <alignment vertical="top"/>
    </xf>
    <xf numFmtId="2" fontId="2" fillId="24" borderId="23" xfId="4" applyNumberFormat="1" applyFont="1" applyFill="1" applyBorder="1" applyAlignment="1">
      <alignment vertical="top"/>
    </xf>
    <xf numFmtId="2" fontId="2" fillId="24" borderId="29" xfId="4" applyNumberFormat="1" applyFont="1" applyFill="1" applyBorder="1" applyAlignment="1">
      <alignment vertical="top"/>
    </xf>
    <xf numFmtId="2" fontId="5" fillId="24" borderId="38" xfId="4" applyNumberFormat="1" applyFont="1" applyFill="1" applyBorder="1" applyAlignment="1">
      <alignment vertical="top"/>
    </xf>
    <xf numFmtId="0" fontId="2" fillId="24" borderId="3" xfId="4" applyNumberFormat="1" applyFont="1" applyFill="1" applyBorder="1" applyAlignment="1">
      <alignment horizontal="center" vertical="center" shrinkToFit="1"/>
    </xf>
    <xf numFmtId="2" fontId="2" fillId="24" borderId="3" xfId="4" applyNumberFormat="1" applyFont="1" applyFill="1" applyBorder="1" applyAlignment="1">
      <alignment horizontal="center" vertical="top"/>
    </xf>
    <xf numFmtId="2" fontId="2" fillId="24" borderId="3" xfId="4" applyNumberFormat="1" applyFont="1" applyFill="1" applyBorder="1" applyAlignment="1">
      <alignment horizontal="center" vertical="top" shrinkToFit="1"/>
    </xf>
    <xf numFmtId="2" fontId="2" fillId="24" borderId="3" xfId="4" applyNumberFormat="1" applyFont="1" applyFill="1" applyBorder="1" applyAlignment="1">
      <alignment vertical="top"/>
    </xf>
    <xf numFmtId="2" fontId="2" fillId="24" borderId="22" xfId="4" applyNumberFormat="1" applyFont="1" applyFill="1" applyBorder="1" applyAlignment="1">
      <alignment vertical="top" shrinkToFit="1"/>
    </xf>
    <xf numFmtId="2" fontId="2" fillId="24" borderId="2" xfId="4" applyNumberFormat="1" applyFont="1" applyFill="1" applyBorder="1" applyAlignment="1">
      <alignment horizontal="center" vertical="center" shrinkToFit="1"/>
    </xf>
    <xf numFmtId="0" fontId="2" fillId="24" borderId="20" xfId="4" applyNumberFormat="1" applyFont="1" applyFill="1" applyBorder="1" applyAlignment="1">
      <alignment horizontal="center" vertical="top"/>
    </xf>
    <xf numFmtId="0" fontId="2" fillId="24" borderId="0" xfId="4" applyNumberFormat="1" applyFont="1" applyFill="1" applyBorder="1" applyAlignment="1">
      <alignment horizontal="center" vertical="center"/>
    </xf>
    <xf numFmtId="2" fontId="2" fillId="24" borderId="0" xfId="4" applyNumberFormat="1" applyFont="1" applyFill="1" applyBorder="1" applyAlignment="1">
      <alignment vertical="top"/>
    </xf>
    <xf numFmtId="2" fontId="2" fillId="24" borderId="8" xfId="4" applyNumberFormat="1" applyFont="1" applyFill="1" applyBorder="1" applyAlignment="1">
      <alignment vertical="top"/>
    </xf>
    <xf numFmtId="2" fontId="2" fillId="24" borderId="9" xfId="4" applyNumberFormat="1" applyFont="1" applyFill="1" applyBorder="1" applyAlignment="1">
      <alignment vertical="top"/>
    </xf>
    <xf numFmtId="49" fontId="5" fillId="24" borderId="34" xfId="4" applyNumberFormat="1" applyFont="1" applyFill="1" applyBorder="1" applyAlignment="1">
      <alignment horizontal="left" vertical="top" wrapText="1"/>
    </xf>
    <xf numFmtId="0" fontId="2" fillId="24" borderId="35" xfId="4" applyNumberFormat="1" applyFont="1" applyFill="1" applyBorder="1" applyAlignment="1">
      <alignment horizontal="center" vertical="top" shrinkToFit="1"/>
    </xf>
    <xf numFmtId="2" fontId="2" fillId="24" borderId="35" xfId="4" applyNumberFormat="1" applyFont="1" applyFill="1" applyBorder="1" applyAlignment="1">
      <alignment horizontal="center" vertical="top" shrinkToFit="1"/>
    </xf>
    <xf numFmtId="2" fontId="2" fillId="24" borderId="33" xfId="4" applyNumberFormat="1" applyFont="1" applyFill="1" applyBorder="1" applyAlignment="1">
      <alignment vertical="top" shrinkToFit="1"/>
    </xf>
    <xf numFmtId="2" fontId="2" fillId="24" borderId="37" xfId="4" applyNumberFormat="1" applyFont="1" applyFill="1" applyBorder="1" applyAlignment="1">
      <alignment vertical="top" shrinkToFit="1"/>
    </xf>
    <xf numFmtId="0" fontId="2" fillId="24" borderId="21" xfId="4" applyNumberFormat="1" applyFont="1" applyFill="1" applyBorder="1" applyAlignment="1">
      <alignment horizontal="center" vertical="top"/>
    </xf>
    <xf numFmtId="0" fontId="2" fillId="24" borderId="1" xfId="4" applyNumberFormat="1" applyFont="1" applyFill="1" applyBorder="1" applyAlignment="1">
      <alignment vertical="top"/>
    </xf>
    <xf numFmtId="0" fontId="6" fillId="24" borderId="14" xfId="4" applyNumberFormat="1" applyFont="1" applyFill="1" applyBorder="1" applyAlignment="1">
      <alignment vertical="top"/>
    </xf>
    <xf numFmtId="0" fontId="2" fillId="24" borderId="1" xfId="4" applyNumberFormat="1" applyFont="1" applyFill="1" applyBorder="1" applyAlignment="1">
      <alignment horizontal="center" vertical="center"/>
    </xf>
    <xf numFmtId="2" fontId="2" fillId="24" borderId="14" xfId="4" applyNumberFormat="1" applyFont="1" applyFill="1" applyBorder="1" applyAlignment="1">
      <alignment horizontal="center" vertical="center" shrinkToFit="1"/>
    </xf>
    <xf numFmtId="2" fontId="2" fillId="24" borderId="1" xfId="4" applyNumberFormat="1" applyFont="1" applyFill="1" applyBorder="1" applyAlignment="1">
      <alignment vertical="top"/>
    </xf>
    <xf numFmtId="2" fontId="2" fillId="24" borderId="1" xfId="4" applyNumberFormat="1" applyFont="1" applyFill="1" applyBorder="1" applyAlignment="1">
      <alignment vertical="top" shrinkToFit="1"/>
    </xf>
    <xf numFmtId="2" fontId="2" fillId="24" borderId="10" xfId="4" applyNumberFormat="1" applyFont="1" applyFill="1" applyBorder="1" applyAlignment="1">
      <alignment vertical="top"/>
    </xf>
    <xf numFmtId="2" fontId="2" fillId="24" borderId="11" xfId="4" applyNumberFormat="1" applyFont="1" applyFill="1" applyBorder="1" applyAlignment="1">
      <alignment vertical="top"/>
    </xf>
    <xf numFmtId="2" fontId="5" fillId="24" borderId="1" xfId="4" applyNumberFormat="1" applyFont="1" applyFill="1" applyBorder="1" applyAlignment="1">
      <alignment vertical="top"/>
    </xf>
    <xf numFmtId="0" fontId="2" fillId="24" borderId="1" xfId="4" applyNumberFormat="1" applyFont="1" applyFill="1" applyBorder="1" applyAlignment="1">
      <alignment horizontal="center" vertical="center" shrinkToFit="1"/>
    </xf>
    <xf numFmtId="2" fontId="2" fillId="24" borderId="1" xfId="4" applyNumberFormat="1" applyFont="1" applyFill="1" applyBorder="1" applyAlignment="1">
      <alignment horizontal="center" vertical="top"/>
    </xf>
    <xf numFmtId="2" fontId="2" fillId="24" borderId="1" xfId="4" applyNumberFormat="1" applyFont="1" applyFill="1" applyBorder="1" applyAlignment="1">
      <alignment horizontal="center" vertical="top" shrinkToFit="1"/>
    </xf>
    <xf numFmtId="2" fontId="2" fillId="24" borderId="11" xfId="4" applyNumberFormat="1" applyFont="1" applyFill="1" applyBorder="1" applyAlignment="1">
      <alignment vertical="top" shrinkToFit="1"/>
    </xf>
    <xf numFmtId="2" fontId="2" fillId="24" borderId="49" xfId="4" applyNumberFormat="1" applyFont="1" applyFill="1" applyBorder="1" applyAlignment="1">
      <alignment vertical="center" shrinkToFit="1"/>
    </xf>
    <xf numFmtId="2" fontId="5" fillId="24" borderId="4" xfId="4" applyNumberFormat="1" applyFont="1" applyFill="1" applyBorder="1" applyAlignment="1">
      <alignment vertical="top"/>
    </xf>
    <xf numFmtId="0" fontId="2" fillId="24" borderId="4" xfId="4" applyNumberFormat="1" applyFont="1" applyFill="1" applyBorder="1" applyAlignment="1">
      <alignment horizontal="center" vertical="center" shrinkToFit="1"/>
    </xf>
    <xf numFmtId="2" fontId="2" fillId="24" borderId="4" xfId="4" applyNumberFormat="1" applyFont="1" applyFill="1" applyBorder="1" applyAlignment="1">
      <alignment horizontal="center" vertical="top"/>
    </xf>
    <xf numFmtId="2" fontId="2" fillId="24" borderId="4" xfId="4" applyNumberFormat="1" applyFont="1" applyFill="1" applyBorder="1" applyAlignment="1">
      <alignment horizontal="center" vertical="top" shrinkToFit="1"/>
    </xf>
    <xf numFmtId="2" fontId="2" fillId="24" borderId="29" xfId="4" applyNumberFormat="1" applyFont="1" applyFill="1" applyBorder="1" applyAlignment="1">
      <alignment vertical="top" shrinkToFit="1"/>
    </xf>
    <xf numFmtId="0" fontId="2" fillId="24" borderId="28" xfId="4" applyNumberFormat="1" applyFont="1" applyFill="1" applyBorder="1" applyAlignment="1">
      <alignment horizontal="center" vertical="center" shrinkToFit="1"/>
    </xf>
    <xf numFmtId="2" fontId="2" fillId="24" borderId="28" xfId="4" applyNumberFormat="1" applyFont="1" applyFill="1" applyBorder="1" applyAlignment="1">
      <alignment horizontal="center" vertical="top" shrinkToFit="1"/>
    </xf>
    <xf numFmtId="2" fontId="2" fillId="24" borderId="28" xfId="4" applyNumberFormat="1" applyFont="1" applyFill="1" applyBorder="1" applyAlignment="1">
      <alignment vertical="top" shrinkToFit="1"/>
    </xf>
    <xf numFmtId="2" fontId="2" fillId="24" borderId="30" xfId="4" applyNumberFormat="1" applyFont="1" applyFill="1" applyBorder="1" applyAlignment="1">
      <alignment vertical="top" shrinkToFit="1"/>
    </xf>
    <xf numFmtId="2" fontId="2" fillId="24" borderId="0" xfId="4" applyNumberFormat="1" applyFont="1" applyFill="1" applyBorder="1" applyAlignment="1">
      <alignment vertical="top" shrinkToFit="1"/>
    </xf>
    <xf numFmtId="0" fontId="2" fillId="24" borderId="35" xfId="4" applyNumberFormat="1" applyFont="1" applyFill="1" applyBorder="1" applyAlignment="1">
      <alignment horizontal="center" vertical="center" shrinkToFit="1"/>
    </xf>
    <xf numFmtId="2" fontId="2" fillId="24" borderId="35" xfId="4" applyNumberFormat="1" applyFont="1" applyFill="1" applyBorder="1" applyAlignment="1">
      <alignment horizontal="center" vertical="top"/>
    </xf>
    <xf numFmtId="2" fontId="2" fillId="24" borderId="35" xfId="4" applyNumberFormat="1" applyFont="1" applyFill="1" applyBorder="1" applyAlignment="1">
      <alignment vertical="top"/>
    </xf>
    <xf numFmtId="2" fontId="2" fillId="24" borderId="18" xfId="4" applyNumberFormat="1" applyFont="1" applyFill="1" applyBorder="1" applyAlignment="1">
      <alignment vertical="center" shrinkToFit="1"/>
    </xf>
    <xf numFmtId="2" fontId="5" fillId="24" borderId="0" xfId="4" applyNumberFormat="1" applyFont="1" applyFill="1" applyBorder="1" applyAlignment="1">
      <alignment vertical="top"/>
    </xf>
    <xf numFmtId="0" fontId="2" fillId="24" borderId="0" xfId="4" applyNumberFormat="1" applyFont="1" applyFill="1" applyBorder="1" applyAlignment="1">
      <alignment horizontal="center" vertical="center" shrinkToFit="1"/>
    </xf>
    <xf numFmtId="2" fontId="2" fillId="24" borderId="0" xfId="4" applyNumberFormat="1" applyFont="1" applyFill="1" applyBorder="1" applyAlignment="1">
      <alignment horizontal="center" vertical="top"/>
    </xf>
    <xf numFmtId="2" fontId="2" fillId="24" borderId="0" xfId="4" applyNumberFormat="1" applyFont="1" applyFill="1" applyBorder="1" applyAlignment="1">
      <alignment horizontal="center" vertical="top" shrinkToFit="1"/>
    </xf>
    <xf numFmtId="2" fontId="2" fillId="24" borderId="9" xfId="4" applyNumberFormat="1" applyFont="1" applyFill="1" applyBorder="1" applyAlignment="1">
      <alignment vertical="top" shrinkToFit="1"/>
    </xf>
    <xf numFmtId="0" fontId="2" fillId="24" borderId="28" xfId="5" applyNumberFormat="1" applyFont="1" applyFill="1" applyBorder="1" applyAlignment="1">
      <alignment horizontal="center" vertical="center" shrinkToFit="1"/>
    </xf>
    <xf numFmtId="2" fontId="2" fillId="24" borderId="28" xfId="5" applyNumberFormat="1" applyFont="1" applyFill="1" applyBorder="1" applyAlignment="1">
      <alignment horizontal="center" vertical="center" shrinkToFit="1"/>
    </xf>
    <xf numFmtId="2" fontId="2" fillId="24" borderId="28" xfId="5" applyNumberFormat="1" applyFont="1" applyFill="1" applyBorder="1" applyAlignment="1">
      <alignment horizontal="center" vertical="center"/>
    </xf>
    <xf numFmtId="2" fontId="2" fillId="24" borderId="28" xfId="5" applyNumberFormat="1" applyFont="1" applyFill="1" applyBorder="1" applyAlignment="1">
      <alignment vertical="top" shrinkToFit="1"/>
    </xf>
    <xf numFmtId="2" fontId="2" fillId="24" borderId="30" xfId="5" applyNumberFormat="1" applyFont="1" applyFill="1" applyBorder="1" applyAlignment="1">
      <alignment vertical="top" shrinkToFit="1"/>
    </xf>
    <xf numFmtId="2" fontId="2" fillId="24" borderId="35" xfId="5" applyNumberFormat="1" applyFont="1" applyFill="1" applyBorder="1" applyAlignment="1">
      <alignment horizontal="center" vertical="center"/>
    </xf>
    <xf numFmtId="2" fontId="2" fillId="24" borderId="35" xfId="5" applyNumberFormat="1" applyFont="1" applyFill="1" applyBorder="1" applyAlignment="1">
      <alignment vertical="top"/>
    </xf>
    <xf numFmtId="2" fontId="2" fillId="24" borderId="37" xfId="5" applyNumberFormat="1" applyFont="1" applyFill="1" applyBorder="1" applyAlignment="1">
      <alignment vertical="top" shrinkToFit="1"/>
    </xf>
    <xf numFmtId="0" fontId="2" fillId="24" borderId="33" xfId="5" applyNumberFormat="1" applyFont="1" applyFill="1" applyBorder="1" applyAlignment="1">
      <alignment horizontal="center" vertical="center" shrinkToFit="1"/>
    </xf>
    <xf numFmtId="2" fontId="2" fillId="24" borderId="33" xfId="5" applyNumberFormat="1" applyFont="1" applyFill="1" applyBorder="1" applyAlignment="1">
      <alignment horizontal="center" vertical="center"/>
    </xf>
    <xf numFmtId="2" fontId="2" fillId="24" borderId="33" xfId="5" applyNumberFormat="1" applyFont="1" applyFill="1" applyBorder="1" applyAlignment="1">
      <alignment vertical="top"/>
    </xf>
    <xf numFmtId="2" fontId="2" fillId="24" borderId="36" xfId="5" applyNumberFormat="1" applyFont="1" applyFill="1" applyBorder="1" applyAlignment="1">
      <alignment vertical="top" shrinkToFit="1"/>
    </xf>
    <xf numFmtId="2" fontId="2" fillId="24" borderId="4" xfId="4" applyNumberFormat="1" applyFont="1" applyFill="1" applyBorder="1" applyAlignment="1">
      <alignment horizontal="center" vertical="center"/>
    </xf>
    <xf numFmtId="49" fontId="5" fillId="24" borderId="25" xfId="4" applyNumberFormat="1" applyFont="1" applyFill="1" applyBorder="1" applyAlignment="1">
      <alignment horizontal="left" vertical="top" wrapText="1"/>
    </xf>
    <xf numFmtId="0" fontId="2" fillId="24" borderId="26" xfId="4" applyNumberFormat="1" applyFont="1" applyFill="1" applyBorder="1" applyAlignment="1">
      <alignment horizontal="center" vertical="center" shrinkToFit="1"/>
    </xf>
    <xf numFmtId="2" fontId="2" fillId="24" borderId="26" xfId="4" applyNumberFormat="1" applyFont="1" applyFill="1" applyBorder="1" applyAlignment="1">
      <alignment horizontal="center" vertical="center" shrinkToFit="1"/>
    </xf>
    <xf numFmtId="2" fontId="2" fillId="24" borderId="26" xfId="4" applyNumberFormat="1" applyFont="1" applyFill="1" applyBorder="1" applyAlignment="1">
      <alignment horizontal="center" vertical="center"/>
    </xf>
    <xf numFmtId="2" fontId="2" fillId="24" borderId="26" xfId="4" applyNumberFormat="1" applyFont="1" applyFill="1" applyBorder="1" applyAlignment="1">
      <alignment vertical="top" shrinkToFit="1"/>
    </xf>
    <xf numFmtId="0" fontId="2" fillId="24" borderId="0" xfId="4" applyNumberFormat="1" applyFont="1" applyFill="1" applyBorder="1" applyAlignment="1">
      <alignment vertical="top"/>
    </xf>
    <xf numFmtId="2" fontId="2" fillId="24" borderId="0" xfId="4" applyNumberFormat="1" applyFont="1" applyFill="1" applyBorder="1" applyAlignment="1">
      <alignment horizontal="center" vertical="center"/>
    </xf>
    <xf numFmtId="2" fontId="2" fillId="24" borderId="1" xfId="4" applyNumberFormat="1" applyFont="1" applyFill="1" applyBorder="1" applyAlignment="1">
      <alignment horizontal="center" vertical="center"/>
    </xf>
    <xf numFmtId="2" fontId="2" fillId="24" borderId="1" xfId="5" applyNumberFormat="1" applyFont="1" applyFill="1" applyBorder="1" applyAlignment="1">
      <alignment horizontal="center" vertical="center"/>
    </xf>
    <xf numFmtId="2" fontId="2" fillId="24" borderId="1" xfId="5" applyNumberFormat="1" applyFont="1" applyFill="1" applyBorder="1" applyAlignment="1">
      <alignment horizontal="center" vertical="center" shrinkToFit="1"/>
    </xf>
    <xf numFmtId="0" fontId="12" fillId="0" borderId="2" xfId="0" applyNumberFormat="1" applyFont="1" applyFill="1" applyBorder="1" applyAlignment="1">
      <alignment vertical="top"/>
    </xf>
    <xf numFmtId="0" fontId="12" fillId="0" borderId="2" xfId="4" applyNumberFormat="1" applyFont="1" applyFill="1" applyBorder="1" applyAlignment="1">
      <alignment vertical="top"/>
    </xf>
    <xf numFmtId="2" fontId="16" fillId="0" borderId="12" xfId="4" applyNumberFormat="1" applyFont="1" applyFill="1" applyBorder="1" applyAlignment="1">
      <alignment horizontal="center" vertical="center" shrinkToFit="1"/>
    </xf>
    <xf numFmtId="2" fontId="16" fillId="0" borderId="13" xfId="4" applyNumberFormat="1" applyFont="1" applyFill="1" applyBorder="1" applyAlignment="1">
      <alignment horizontal="center" vertical="center" shrinkToFit="1"/>
    </xf>
    <xf numFmtId="2" fontId="16" fillId="0" borderId="43" xfId="4" applyNumberFormat="1" applyFont="1" applyFill="1" applyBorder="1" applyAlignment="1">
      <alignment horizontal="center" vertical="center" shrinkToFit="1"/>
    </xf>
    <xf numFmtId="2" fontId="16" fillId="0" borderId="18" xfId="4" applyNumberFormat="1" applyFont="1" applyFill="1" applyBorder="1" applyAlignment="1">
      <alignment horizontal="center" vertical="center" shrinkToFit="1"/>
    </xf>
    <xf numFmtId="0" fontId="11" fillId="0" borderId="22" xfId="4" applyFont="1" applyFill="1" applyBorder="1" applyAlignment="1">
      <alignment horizontal="center" vertical="center" wrapText="1"/>
    </xf>
    <xf numFmtId="49" fontId="15" fillId="0" borderId="27" xfId="4" applyNumberFormat="1" applyFont="1" applyFill="1" applyBorder="1" applyAlignment="1">
      <alignment horizontal="left" vertical="top" wrapText="1"/>
    </xf>
    <xf numFmtId="0" fontId="40" fillId="0" borderId="0" xfId="4" applyFont="1" applyFill="1" applyAlignment="1">
      <alignment horizontal="left"/>
    </xf>
    <xf numFmtId="2" fontId="16" fillId="0" borderId="12" xfId="0" applyNumberFormat="1" applyFont="1" applyFill="1" applyBorder="1" applyAlignment="1">
      <alignment horizontal="center" vertical="center" shrinkToFit="1"/>
    </xf>
    <xf numFmtId="2" fontId="16" fillId="0" borderId="13" xfId="0" applyNumberFormat="1" applyFont="1" applyFill="1" applyBorder="1" applyAlignment="1">
      <alignment horizontal="center" vertical="center" shrinkToFit="1"/>
    </xf>
    <xf numFmtId="49" fontId="16" fillId="0" borderId="0" xfId="4" applyNumberFormat="1" applyFont="1" applyFill="1" applyBorder="1" applyAlignment="1">
      <alignment horizontal="center" vertical="top" wrapText="1"/>
    </xf>
    <xf numFmtId="49" fontId="15" fillId="0" borderId="34" xfId="4" applyNumberFormat="1" applyFont="1" applyFill="1" applyBorder="1" applyAlignment="1">
      <alignment horizontal="left" vertical="top" wrapText="1"/>
    </xf>
    <xf numFmtId="49" fontId="16" fillId="0" borderId="4" xfId="4" applyNumberFormat="1" applyFont="1" applyFill="1" applyBorder="1" applyAlignment="1">
      <alignment horizontal="center" vertical="top" wrapText="1"/>
    </xf>
    <xf numFmtId="2" fontId="16" fillId="0" borderId="43" xfId="0" applyNumberFormat="1" applyFont="1" applyFill="1" applyBorder="1" applyAlignment="1">
      <alignment horizontal="center" vertical="center" shrinkToFit="1"/>
    </xf>
    <xf numFmtId="0" fontId="15" fillId="0" borderId="2" xfId="4" applyFont="1" applyFill="1" applyBorder="1" applyAlignment="1">
      <alignment horizontal="center" vertical="center" textRotation="90" wrapText="1"/>
    </xf>
    <xf numFmtId="0" fontId="12" fillId="0" borderId="22" xfId="5" applyNumberFormat="1" applyFont="1" applyFill="1" applyBorder="1" applyAlignment="1">
      <alignment horizontal="center" vertical="top"/>
    </xf>
    <xf numFmtId="2" fontId="16" fillId="0" borderId="12" xfId="5" applyNumberFormat="1" applyFont="1" applyFill="1" applyBorder="1" applyAlignment="1">
      <alignment horizontal="center" vertical="center" shrinkToFit="1"/>
    </xf>
    <xf numFmtId="2" fontId="16" fillId="0" borderId="13" xfId="5" applyNumberFormat="1" applyFont="1" applyFill="1" applyBorder="1" applyAlignment="1">
      <alignment horizontal="center" vertical="center" shrinkToFit="1"/>
    </xf>
    <xf numFmtId="2" fontId="16" fillId="0" borderId="43" xfId="5" applyNumberFormat="1" applyFont="1" applyFill="1" applyBorder="1" applyAlignment="1">
      <alignment horizontal="center" vertical="center" shrinkToFit="1"/>
    </xf>
    <xf numFmtId="2" fontId="16" fillId="0" borderId="18" xfId="5" applyNumberFormat="1" applyFont="1" applyFill="1" applyBorder="1" applyAlignment="1">
      <alignment horizontal="center" vertical="center" shrinkToFit="1"/>
    </xf>
    <xf numFmtId="49" fontId="15" fillId="0" borderId="27" xfId="5" applyNumberFormat="1" applyFont="1" applyFill="1" applyBorder="1" applyAlignment="1">
      <alignment horizontal="left" vertical="top" wrapText="1"/>
    </xf>
    <xf numFmtId="49" fontId="15" fillId="0" borderId="27" xfId="0" applyNumberFormat="1" applyFont="1" applyFill="1" applyBorder="1" applyAlignment="1">
      <alignment horizontal="left" vertical="top" wrapText="1"/>
    </xf>
    <xf numFmtId="2" fontId="2" fillId="24" borderId="12" xfId="5" applyNumberFormat="1" applyFont="1" applyFill="1" applyBorder="1" applyAlignment="1">
      <alignment horizontal="center" vertical="center" shrinkToFit="1"/>
    </xf>
    <xf numFmtId="2" fontId="2" fillId="24" borderId="13" xfId="5" applyNumberFormat="1" applyFont="1" applyFill="1" applyBorder="1" applyAlignment="1">
      <alignment horizontal="center" vertical="center" shrinkToFit="1"/>
    </xf>
    <xf numFmtId="2" fontId="2" fillId="24" borderId="43" xfId="5" applyNumberFormat="1" applyFont="1" applyFill="1" applyBorder="1" applyAlignment="1">
      <alignment horizontal="center" vertical="center" shrinkToFit="1"/>
    </xf>
    <xf numFmtId="49" fontId="5" fillId="24" borderId="34" xfId="5" applyNumberFormat="1" applyFont="1" applyFill="1" applyBorder="1" applyAlignment="1">
      <alignment horizontal="left" vertical="top" wrapText="1"/>
    </xf>
    <xf numFmtId="2" fontId="2" fillId="24" borderId="12" xfId="4" applyNumberFormat="1" applyFont="1" applyFill="1" applyBorder="1" applyAlignment="1">
      <alignment horizontal="center" vertical="center" shrinkToFit="1"/>
    </xf>
    <xf numFmtId="2" fontId="2" fillId="24" borderId="13" xfId="4" applyNumberFormat="1" applyFont="1" applyFill="1" applyBorder="1" applyAlignment="1">
      <alignment horizontal="center" vertical="center" shrinkToFit="1"/>
    </xf>
    <xf numFmtId="49" fontId="2" fillId="24" borderId="4" xfId="4" applyNumberFormat="1" applyFont="1" applyFill="1" applyBorder="1" applyAlignment="1">
      <alignment horizontal="center" vertical="top" wrapText="1"/>
    </xf>
    <xf numFmtId="49" fontId="2" fillId="24" borderId="0" xfId="4" applyNumberFormat="1" applyFont="1" applyFill="1" applyBorder="1" applyAlignment="1">
      <alignment horizontal="center" vertical="top" wrapText="1"/>
    </xf>
    <xf numFmtId="2" fontId="16" fillId="24" borderId="12" xfId="5" applyNumberFormat="1" applyFont="1" applyFill="1" applyBorder="1" applyAlignment="1">
      <alignment horizontal="center" vertical="center" shrinkToFit="1"/>
    </xf>
    <xf numFmtId="2" fontId="16" fillId="24" borderId="13" xfId="5" applyNumberFormat="1" applyFont="1" applyFill="1" applyBorder="1" applyAlignment="1">
      <alignment horizontal="center" vertical="center" shrinkToFit="1"/>
    </xf>
    <xf numFmtId="2" fontId="16" fillId="24" borderId="43" xfId="5" applyNumberFormat="1" applyFont="1" applyFill="1" applyBorder="1" applyAlignment="1">
      <alignment horizontal="center" vertical="center" shrinkToFit="1"/>
    </xf>
    <xf numFmtId="2" fontId="16" fillId="24" borderId="18" xfId="5" applyNumberFormat="1" applyFont="1" applyFill="1" applyBorder="1" applyAlignment="1">
      <alignment horizontal="center" vertical="center" shrinkToFit="1"/>
    </xf>
    <xf numFmtId="49" fontId="15" fillId="24" borderId="27" xfId="5" applyNumberFormat="1" applyFont="1" applyFill="1" applyBorder="1" applyAlignment="1">
      <alignment horizontal="left" vertical="top" wrapText="1"/>
    </xf>
    <xf numFmtId="49" fontId="16" fillId="24" borderId="4" xfId="5" applyNumberFormat="1" applyFont="1" applyFill="1" applyBorder="1" applyAlignment="1">
      <alignment horizontal="center" vertical="top" wrapText="1"/>
    </xf>
    <xf numFmtId="49" fontId="16" fillId="24" borderId="0" xfId="5" applyNumberFormat="1" applyFont="1" applyFill="1" applyAlignment="1">
      <alignment horizontal="center" vertical="top" wrapText="1"/>
    </xf>
    <xf numFmtId="49" fontId="16" fillId="24" borderId="0" xfId="5" applyNumberFormat="1" applyFont="1" applyFill="1" applyBorder="1" applyAlignment="1">
      <alignment horizontal="center" vertical="top" wrapText="1"/>
    </xf>
    <xf numFmtId="0" fontId="16" fillId="24" borderId="4" xfId="5" applyFont="1" applyFill="1" applyBorder="1" applyAlignment="1">
      <alignment horizontal="center" vertical="center"/>
    </xf>
    <xf numFmtId="0" fontId="16" fillId="24" borderId="0" xfId="5" applyFont="1" applyFill="1" applyBorder="1" applyAlignment="1">
      <alignment horizontal="center" vertical="center"/>
    </xf>
    <xf numFmtId="0" fontId="16" fillId="24" borderId="1" xfId="5" applyFont="1" applyFill="1" applyBorder="1" applyAlignment="1">
      <alignment horizontal="center" vertical="center"/>
    </xf>
    <xf numFmtId="2" fontId="16" fillId="0" borderId="13" xfId="4" applyNumberFormat="1" applyFont="1" applyFill="1" applyBorder="1" applyAlignment="1">
      <alignment horizontal="center" vertical="center" shrinkToFit="1"/>
    </xf>
    <xf numFmtId="2" fontId="16" fillId="24" borderId="1" xfId="5" applyNumberFormat="1" applyFont="1" applyFill="1" applyBorder="1" applyAlignment="1">
      <alignment horizontal="center" vertical="center" shrinkToFit="1"/>
    </xf>
    <xf numFmtId="0" fontId="12" fillId="24" borderId="9" xfId="5" applyFont="1" applyFill="1" applyBorder="1" applyAlignment="1">
      <alignment vertical="top"/>
    </xf>
    <xf numFmtId="0" fontId="11" fillId="0" borderId="38" xfId="4" applyFont="1" applyFill="1" applyBorder="1" applyAlignment="1">
      <alignment vertical="center" wrapText="1"/>
    </xf>
    <xf numFmtId="0" fontId="11" fillId="0" borderId="22" xfId="4" applyFont="1" applyFill="1" applyBorder="1" applyAlignment="1">
      <alignment vertical="center" wrapText="1"/>
    </xf>
    <xf numFmtId="0" fontId="12" fillId="0" borderId="46" xfId="5" applyNumberFormat="1" applyFont="1" applyFill="1" applyBorder="1" applyAlignment="1">
      <alignment vertical="top"/>
    </xf>
    <xf numFmtId="0" fontId="12" fillId="0" borderId="3" xfId="5" applyNumberFormat="1" applyFont="1" applyFill="1" applyBorder="1" applyAlignment="1">
      <alignment vertical="top"/>
    </xf>
    <xf numFmtId="10" fontId="16" fillId="0" borderId="18" xfId="0" applyNumberFormat="1" applyFont="1" applyFill="1" applyBorder="1" applyAlignment="1">
      <alignment vertical="center" shrinkToFit="1"/>
    </xf>
    <xf numFmtId="10" fontId="16" fillId="0" borderId="57" xfId="0" applyNumberFormat="1" applyFont="1" applyFill="1" applyBorder="1" applyAlignment="1">
      <alignment vertical="center" shrinkToFit="1"/>
    </xf>
    <xf numFmtId="10" fontId="16" fillId="0" borderId="57" xfId="4" applyNumberFormat="1" applyFont="1" applyFill="1" applyBorder="1" applyAlignment="1">
      <alignment vertical="center" shrinkToFit="1"/>
    </xf>
    <xf numFmtId="10" fontId="16" fillId="0" borderId="57" xfId="5" applyNumberFormat="1" applyFont="1" applyFill="1" applyBorder="1" applyAlignment="1">
      <alignment vertical="center" shrinkToFit="1"/>
    </xf>
    <xf numFmtId="0" fontId="10" fillId="0" borderId="13" xfId="4" applyNumberFormat="1" applyFont="1" applyFill="1" applyBorder="1" applyAlignment="1">
      <alignment vertical="top"/>
    </xf>
    <xf numFmtId="0" fontId="16" fillId="24" borderId="20" xfId="4" applyNumberFormat="1" applyFont="1" applyFill="1" applyBorder="1" applyAlignment="1">
      <alignment horizontal="center" vertical="top" shrinkToFit="1"/>
    </xf>
    <xf numFmtId="164" fontId="16" fillId="24" borderId="13" xfId="4" applyNumberFormat="1" applyFont="1" applyFill="1" applyBorder="1" applyAlignment="1">
      <alignment horizontal="center" vertical="center" shrinkToFit="1"/>
    </xf>
    <xf numFmtId="2" fontId="16" fillId="24" borderId="0" xfId="4" applyNumberFormat="1" applyFont="1" applyFill="1" applyBorder="1" applyAlignment="1">
      <alignment vertical="top" shrinkToFit="1"/>
    </xf>
    <xf numFmtId="2" fontId="16" fillId="24" borderId="18" xfId="4" applyNumberFormat="1" applyFont="1" applyFill="1" applyBorder="1" applyAlignment="1">
      <alignment horizontal="center" vertical="center" shrinkToFit="1"/>
    </xf>
    <xf numFmtId="0" fontId="16" fillId="0" borderId="72" xfId="4" applyNumberFormat="1" applyFont="1" applyFill="1" applyBorder="1" applyAlignment="1">
      <alignment horizontal="center" vertical="top"/>
    </xf>
    <xf numFmtId="0" fontId="16" fillId="0" borderId="73" xfId="4" applyNumberFormat="1" applyFont="1" applyFill="1" applyBorder="1" applyAlignment="1">
      <alignment vertical="top"/>
    </xf>
    <xf numFmtId="0" fontId="16" fillId="0" borderId="73" xfId="4" applyNumberFormat="1" applyFont="1" applyFill="1" applyBorder="1" applyAlignment="1">
      <alignment horizontal="center" vertical="center"/>
    </xf>
    <xf numFmtId="2" fontId="16" fillId="0" borderId="73" xfId="4" applyNumberFormat="1" applyFont="1" applyFill="1" applyBorder="1" applyAlignment="1">
      <alignment horizontal="center" vertical="center" shrinkToFit="1"/>
    </xf>
    <xf numFmtId="2" fontId="16" fillId="0" borderId="73" xfId="4" applyNumberFormat="1" applyFont="1" applyFill="1" applyBorder="1" applyAlignment="1">
      <alignment vertical="top"/>
    </xf>
    <xf numFmtId="2" fontId="16" fillId="0" borderId="73" xfId="4" applyNumberFormat="1" applyFont="1" applyFill="1" applyBorder="1" applyAlignment="1">
      <alignment vertical="top" shrinkToFit="1"/>
    </xf>
    <xf numFmtId="2" fontId="15" fillId="0" borderId="73" xfId="4" applyNumberFormat="1" applyFont="1" applyFill="1" applyBorder="1" applyAlignment="1">
      <alignment vertical="top"/>
    </xf>
    <xf numFmtId="0" fontId="16" fillId="0" borderId="73" xfId="4" applyNumberFormat="1" applyFont="1" applyFill="1" applyBorder="1" applyAlignment="1">
      <alignment horizontal="center" vertical="center" shrinkToFit="1"/>
    </xf>
    <xf numFmtId="2" fontId="16" fillId="0" borderId="73" xfId="4" applyNumberFormat="1" applyFont="1" applyFill="1" applyBorder="1" applyAlignment="1">
      <alignment horizontal="center" vertical="center"/>
    </xf>
    <xf numFmtId="0" fontId="16" fillId="0" borderId="74" xfId="4" applyNumberFormat="1" applyFont="1" applyFill="1" applyBorder="1" applyAlignment="1">
      <alignment horizontal="center" vertical="top"/>
    </xf>
    <xf numFmtId="0" fontId="16" fillId="0" borderId="75" xfId="4" applyNumberFormat="1" applyFont="1" applyFill="1" applyBorder="1" applyAlignment="1">
      <alignment vertical="top"/>
    </xf>
    <xf numFmtId="0" fontId="16" fillId="0" borderId="75" xfId="4" applyNumberFormat="1" applyFont="1" applyFill="1" applyBorder="1" applyAlignment="1">
      <alignment horizontal="center" vertical="center"/>
    </xf>
    <xf numFmtId="2" fontId="16" fillId="0" borderId="75" xfId="4" applyNumberFormat="1" applyFont="1" applyFill="1" applyBorder="1" applyAlignment="1">
      <alignment horizontal="center" vertical="center" shrinkToFit="1"/>
    </xf>
    <xf numFmtId="2" fontId="16" fillId="0" borderId="75" xfId="4" applyNumberFormat="1" applyFont="1" applyFill="1" applyBorder="1" applyAlignment="1">
      <alignment vertical="top"/>
    </xf>
    <xf numFmtId="2" fontId="16" fillId="0" borderId="75" xfId="4" applyNumberFormat="1" applyFont="1" applyFill="1" applyBorder="1" applyAlignment="1">
      <alignment vertical="top" shrinkToFit="1"/>
    </xf>
    <xf numFmtId="2" fontId="15" fillId="0" borderId="75" xfId="4" applyNumberFormat="1" applyFont="1" applyFill="1" applyBorder="1" applyAlignment="1">
      <alignment vertical="top"/>
    </xf>
    <xf numFmtId="0" fontId="16" fillId="0" borderId="75" xfId="4" applyNumberFormat="1" applyFont="1" applyFill="1" applyBorder="1" applyAlignment="1">
      <alignment horizontal="center" vertical="center" shrinkToFit="1"/>
    </xf>
    <xf numFmtId="2" fontId="16" fillId="0" borderId="75" xfId="4" applyNumberFormat="1" applyFont="1" applyFill="1" applyBorder="1" applyAlignment="1">
      <alignment horizontal="center" vertical="center"/>
    </xf>
    <xf numFmtId="0" fontId="3" fillId="24" borderId="78" xfId="5" applyNumberFormat="1" applyFont="1" applyFill="1" applyBorder="1" applyAlignment="1">
      <alignment horizontal="center" vertical="top"/>
    </xf>
    <xf numFmtId="0" fontId="3" fillId="24" borderId="4" xfId="5" applyNumberFormat="1" applyFont="1" applyFill="1" applyBorder="1" applyAlignment="1">
      <alignment vertical="top"/>
    </xf>
    <xf numFmtId="0" fontId="8" fillId="24" borderId="29" xfId="5" applyNumberFormat="1" applyFont="1" applyFill="1" applyBorder="1" applyAlignment="1">
      <alignment vertical="top"/>
    </xf>
    <xf numFmtId="0" fontId="3" fillId="24" borderId="4" xfId="5" applyNumberFormat="1" applyFont="1" applyFill="1" applyBorder="1" applyAlignment="1">
      <alignment horizontal="center" vertical="center"/>
    </xf>
    <xf numFmtId="2" fontId="3" fillId="24" borderId="23" xfId="5" applyNumberFormat="1" applyFont="1" applyFill="1" applyBorder="1" applyAlignment="1">
      <alignment horizontal="center" vertical="center" shrinkToFit="1"/>
    </xf>
    <xf numFmtId="2" fontId="3" fillId="24" borderId="4" xfId="5" applyNumberFormat="1" applyFont="1" applyFill="1" applyBorder="1" applyAlignment="1">
      <alignment vertical="top"/>
    </xf>
    <xf numFmtId="2" fontId="3" fillId="24" borderId="4" xfId="5" applyNumberFormat="1" applyFont="1" applyFill="1" applyBorder="1" applyAlignment="1">
      <alignment vertical="top" shrinkToFit="1"/>
    </xf>
    <xf numFmtId="2" fontId="8" fillId="24" borderId="4" xfId="5" applyNumberFormat="1" applyFont="1" applyFill="1" applyBorder="1" applyAlignment="1">
      <alignment vertical="top"/>
    </xf>
    <xf numFmtId="0" fontId="3" fillId="24" borderId="4" xfId="5" applyNumberFormat="1" applyFont="1" applyFill="1" applyBorder="1" applyAlignment="1">
      <alignment horizontal="center" vertical="center" shrinkToFit="1"/>
    </xf>
    <xf numFmtId="2" fontId="3" fillId="24" borderId="4" xfId="5" applyNumberFormat="1" applyFont="1" applyFill="1" applyBorder="1" applyAlignment="1">
      <alignment horizontal="center" vertical="center"/>
    </xf>
    <xf numFmtId="2" fontId="3" fillId="24" borderId="4" xfId="5" applyNumberFormat="1" applyFont="1" applyFill="1" applyBorder="1" applyAlignment="1">
      <alignment horizontal="center" vertical="center" shrinkToFit="1"/>
    </xf>
    <xf numFmtId="2" fontId="3" fillId="24" borderId="79" xfId="5" applyNumberFormat="1" applyFont="1" applyFill="1" applyBorder="1" applyAlignment="1">
      <alignment vertical="center" shrinkToFit="1"/>
    </xf>
    <xf numFmtId="9" fontId="11" fillId="24" borderId="44" xfId="5" applyNumberFormat="1" applyFont="1" applyFill="1" applyBorder="1" applyAlignment="1">
      <alignment vertical="center" shrinkToFit="1"/>
    </xf>
    <xf numFmtId="10" fontId="15" fillId="0" borderId="57" xfId="4" applyNumberFormat="1" applyFont="1" applyFill="1" applyBorder="1" applyAlignment="1">
      <alignment horizontal="center" vertical="center" wrapText="1"/>
    </xf>
    <xf numFmtId="0" fontId="40" fillId="0" borderId="0" xfId="4" applyFont="1" applyFill="1" applyAlignment="1">
      <alignment horizontal="center"/>
    </xf>
    <xf numFmtId="0" fontId="41" fillId="0" borderId="4" xfId="4" applyFont="1" applyFill="1" applyBorder="1" applyAlignment="1">
      <alignment horizontal="center" vertical="center"/>
    </xf>
    <xf numFmtId="0" fontId="16" fillId="0" borderId="4" xfId="4" applyFont="1" applyFill="1" applyBorder="1" applyAlignment="1">
      <alignment horizontal="center" vertical="center"/>
    </xf>
    <xf numFmtId="0" fontId="40" fillId="0" borderId="0" xfId="4" applyFont="1" applyFill="1" applyAlignment="1">
      <alignment horizontal="left"/>
    </xf>
    <xf numFmtId="2" fontId="42" fillId="0" borderId="0" xfId="4" applyNumberFormat="1" applyFont="1" applyFill="1" applyAlignment="1">
      <alignment horizontal="center" vertical="center" shrinkToFit="1"/>
    </xf>
    <xf numFmtId="0" fontId="12" fillId="0" borderId="0" xfId="4" applyFont="1" applyFill="1" applyAlignment="1">
      <alignment horizontal="center" vertical="center" shrinkToFit="1"/>
    </xf>
    <xf numFmtId="14" fontId="40" fillId="0" borderId="0" xfId="4" applyNumberFormat="1" applyFont="1" applyFill="1" applyAlignment="1">
      <alignment horizontal="left"/>
    </xf>
    <xf numFmtId="0" fontId="12" fillId="0" borderId="0" xfId="0" applyFont="1" applyFill="1" applyBorder="1" applyAlignment="1">
      <alignment horizontal="center" wrapText="1"/>
    </xf>
    <xf numFmtId="0" fontId="12" fillId="0" borderId="0" xfId="4" applyFont="1" applyFill="1" applyAlignment="1">
      <alignment horizontal="center"/>
    </xf>
    <xf numFmtId="10" fontId="16" fillId="0" borderId="76" xfId="4" applyNumberFormat="1" applyFont="1" applyFill="1" applyBorder="1" applyAlignment="1">
      <alignment horizontal="center" vertical="center" shrinkToFit="1"/>
    </xf>
    <xf numFmtId="10" fontId="16" fillId="0" borderId="77" xfId="4" applyNumberFormat="1" applyFont="1" applyFill="1" applyBorder="1" applyAlignment="1">
      <alignment horizontal="center" vertical="center" shrinkToFit="1"/>
    </xf>
    <xf numFmtId="0" fontId="39" fillId="0" borderId="0" xfId="0" applyFont="1" applyFill="1" applyAlignment="1">
      <alignment horizontal="center" vertical="center" shrinkToFit="1"/>
    </xf>
    <xf numFmtId="0" fontId="12" fillId="0" borderId="0" xfId="0" applyFont="1" applyFill="1" applyAlignment="1">
      <alignment horizontal="center" vertical="center" shrinkToFit="1"/>
    </xf>
    <xf numFmtId="164" fontId="39" fillId="0" borderId="0" xfId="0" applyNumberFormat="1" applyFont="1" applyFill="1" applyAlignment="1">
      <alignment horizontal="left" vertical="center"/>
    </xf>
    <xf numFmtId="164" fontId="10" fillId="0" borderId="0" xfId="0" applyNumberFormat="1" applyFont="1" applyFill="1" applyAlignment="1">
      <alignment horizontal="left" vertical="center"/>
    </xf>
    <xf numFmtId="2" fontId="39" fillId="0" borderId="0" xfId="0" applyNumberFormat="1" applyFont="1" applyFill="1" applyAlignment="1">
      <alignment horizontal="left" vertical="center" shrinkToFit="1"/>
    </xf>
    <xf numFmtId="0" fontId="10" fillId="0" borderId="0" xfId="0" applyFont="1" applyFill="1" applyAlignment="1">
      <alignment horizontal="left" vertical="center" shrinkToFit="1"/>
    </xf>
    <xf numFmtId="0" fontId="16" fillId="0" borderId="19" xfId="4" applyFont="1" applyFill="1" applyBorder="1" applyAlignment="1">
      <alignment horizontal="center" vertical="center" wrapText="1"/>
    </xf>
    <xf numFmtId="0" fontId="16" fillId="0" borderId="20" xfId="4" applyFont="1" applyFill="1" applyBorder="1" applyAlignment="1">
      <alignment horizontal="center" vertical="center" wrapText="1"/>
    </xf>
    <xf numFmtId="0" fontId="16" fillId="0" borderId="21" xfId="4" applyFont="1" applyFill="1" applyBorder="1" applyAlignment="1">
      <alignment horizontal="center" vertical="center" wrapText="1"/>
    </xf>
    <xf numFmtId="0" fontId="15" fillId="0" borderId="16" xfId="4" applyFont="1" applyFill="1" applyBorder="1" applyAlignment="1">
      <alignment horizontal="center" vertical="center" wrapText="1"/>
    </xf>
    <xf numFmtId="0" fontId="15" fillId="0" borderId="13" xfId="4" applyFont="1" applyFill="1" applyBorder="1" applyAlignment="1">
      <alignment horizontal="center" vertical="center" wrapText="1"/>
    </xf>
    <xf numFmtId="0" fontId="15" fillId="0" borderId="14" xfId="4" applyFont="1" applyFill="1" applyBorder="1" applyAlignment="1">
      <alignment horizontal="center" vertical="center" wrapText="1"/>
    </xf>
    <xf numFmtId="0" fontId="16" fillId="0" borderId="16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4" xfId="4" applyFont="1" applyFill="1" applyBorder="1" applyAlignment="1">
      <alignment horizontal="center" vertical="center" wrapText="1"/>
    </xf>
    <xf numFmtId="0" fontId="15" fillId="0" borderId="16" xfId="4" applyFont="1" applyFill="1" applyBorder="1" applyAlignment="1">
      <alignment horizontal="center" vertical="center" textRotation="90" wrapText="1"/>
    </xf>
    <xf numFmtId="0" fontId="15" fillId="0" borderId="13" xfId="4" applyFont="1" applyFill="1" applyBorder="1" applyAlignment="1">
      <alignment horizontal="center" vertical="center" textRotation="90" wrapText="1"/>
    </xf>
    <xf numFmtId="0" fontId="15" fillId="0" borderId="14" xfId="4" applyFont="1" applyFill="1" applyBorder="1" applyAlignment="1">
      <alignment horizontal="center" vertical="center" textRotation="90" wrapText="1"/>
    </xf>
    <xf numFmtId="0" fontId="15" fillId="0" borderId="5" xfId="4" applyFont="1" applyFill="1" applyBorder="1" applyAlignment="1">
      <alignment horizontal="center" vertical="center" textRotation="90" wrapText="1"/>
    </xf>
    <xf numFmtId="0" fontId="15" fillId="0" borderId="6" xfId="4" applyFont="1" applyFill="1" applyBorder="1" applyAlignment="1">
      <alignment horizontal="center" vertical="center" textRotation="90" wrapText="1"/>
    </xf>
    <xf numFmtId="0" fontId="15" fillId="0" borderId="8" xfId="4" applyFont="1" applyFill="1" applyBorder="1" applyAlignment="1">
      <alignment horizontal="center" vertical="center" textRotation="90" wrapText="1"/>
    </xf>
    <xf numFmtId="0" fontId="15" fillId="0" borderId="0" xfId="4" applyFont="1" applyFill="1" applyBorder="1" applyAlignment="1">
      <alignment horizontal="center" vertical="center" textRotation="90" wrapText="1"/>
    </xf>
    <xf numFmtId="0" fontId="15" fillId="0" borderId="10" xfId="4" applyFont="1" applyFill="1" applyBorder="1" applyAlignment="1">
      <alignment horizontal="center" vertical="center" textRotation="90" wrapText="1"/>
    </xf>
    <xf numFmtId="0" fontId="15" fillId="0" borderId="1" xfId="4" applyFont="1" applyFill="1" applyBorder="1" applyAlignment="1">
      <alignment horizontal="center" vertical="center" textRotation="90" wrapText="1"/>
    </xf>
    <xf numFmtId="49" fontId="16" fillId="0" borderId="12" xfId="4" applyNumberFormat="1" applyFont="1" applyFill="1" applyBorder="1" applyAlignment="1">
      <alignment horizontal="left" vertical="top" wrapText="1"/>
    </xf>
    <xf numFmtId="49" fontId="16" fillId="0" borderId="13" xfId="4" applyNumberFormat="1" applyFont="1" applyFill="1" applyBorder="1" applyAlignment="1">
      <alignment horizontal="left" vertical="top" wrapText="1"/>
    </xf>
    <xf numFmtId="2" fontId="16" fillId="0" borderId="12" xfId="4" applyNumberFormat="1" applyFont="1" applyFill="1" applyBorder="1" applyAlignment="1">
      <alignment horizontal="center" vertical="center" shrinkToFit="1"/>
    </xf>
    <xf numFmtId="2" fontId="16" fillId="0" borderId="13" xfId="4" applyNumberFormat="1" applyFont="1" applyFill="1" applyBorder="1" applyAlignment="1">
      <alignment horizontal="center" vertical="center" shrinkToFit="1"/>
    </xf>
    <xf numFmtId="2" fontId="16" fillId="0" borderId="43" xfId="4" applyNumberFormat="1" applyFont="1" applyFill="1" applyBorder="1" applyAlignment="1">
      <alignment horizontal="center" vertical="center" shrinkToFit="1"/>
    </xf>
    <xf numFmtId="2" fontId="16" fillId="0" borderId="18" xfId="4" applyNumberFormat="1" applyFont="1" applyFill="1" applyBorder="1" applyAlignment="1">
      <alignment horizontal="center" vertical="center" shrinkToFit="1"/>
    </xf>
    <xf numFmtId="49" fontId="15" fillId="0" borderId="27" xfId="4" applyNumberFormat="1" applyFont="1" applyFill="1" applyBorder="1" applyAlignment="1">
      <alignment horizontal="left" vertical="top" wrapText="1"/>
    </xf>
    <xf numFmtId="49" fontId="15" fillId="0" borderId="32" xfId="4" applyNumberFormat="1" applyFont="1" applyFill="1" applyBorder="1" applyAlignment="1">
      <alignment horizontal="left" vertical="top" wrapText="1"/>
    </xf>
    <xf numFmtId="0" fontId="15" fillId="0" borderId="12" xfId="4" applyFont="1" applyFill="1" applyBorder="1" applyAlignment="1">
      <alignment horizontal="center" vertical="center" textRotation="90" wrapText="1"/>
    </xf>
    <xf numFmtId="0" fontId="10" fillId="0" borderId="13" xfId="4" applyFont="1" applyFill="1" applyBorder="1" applyAlignment="1">
      <alignment horizontal="center" textRotation="90" wrapText="1"/>
    </xf>
    <xf numFmtId="0" fontId="10" fillId="0" borderId="14" xfId="4" applyFont="1" applyFill="1" applyBorder="1" applyAlignment="1">
      <alignment horizontal="center" textRotation="90" wrapText="1"/>
    </xf>
    <xf numFmtId="0" fontId="15" fillId="0" borderId="7" xfId="4" applyFont="1" applyFill="1" applyBorder="1" applyAlignment="1">
      <alignment horizontal="center" vertical="center" textRotation="90" wrapText="1"/>
    </xf>
    <xf numFmtId="0" fontId="15" fillId="0" borderId="9" xfId="4" applyFont="1" applyFill="1" applyBorder="1" applyAlignment="1">
      <alignment horizontal="center" vertical="center" textRotation="90" wrapText="1"/>
    </xf>
    <xf numFmtId="0" fontId="15" fillId="0" borderId="11" xfId="4" applyFont="1" applyFill="1" applyBorder="1" applyAlignment="1">
      <alignment horizontal="center" vertical="center" textRotation="90" wrapText="1"/>
    </xf>
    <xf numFmtId="0" fontId="43" fillId="0" borderId="15" xfId="4" applyFont="1" applyFill="1" applyBorder="1" applyAlignment="1">
      <alignment horizontal="center" vertical="center" wrapText="1"/>
    </xf>
    <xf numFmtId="0" fontId="10" fillId="0" borderId="15" xfId="4" applyFont="1" applyFill="1" applyBorder="1" applyAlignment="1">
      <alignment horizontal="center" vertical="center" wrapText="1"/>
    </xf>
    <xf numFmtId="0" fontId="15" fillId="0" borderId="8" xfId="4" applyFont="1" applyFill="1" applyBorder="1" applyAlignment="1">
      <alignment horizontal="center" textRotation="90" wrapText="1"/>
    </xf>
    <xf numFmtId="0" fontId="15" fillId="0" borderId="10" xfId="4" applyFont="1" applyFill="1" applyBorder="1" applyAlignment="1">
      <alignment horizontal="center" textRotation="90" wrapText="1"/>
    </xf>
    <xf numFmtId="0" fontId="15" fillId="0" borderId="13" xfId="4" applyFont="1" applyFill="1" applyBorder="1" applyAlignment="1">
      <alignment horizontal="center" textRotation="90" wrapText="1"/>
    </xf>
    <xf numFmtId="0" fontId="15" fillId="0" borderId="14" xfId="4" applyFont="1" applyFill="1" applyBorder="1" applyAlignment="1">
      <alignment horizontal="center" textRotation="90" wrapText="1"/>
    </xf>
    <xf numFmtId="0" fontId="15" fillId="0" borderId="17" xfId="4" applyFont="1" applyFill="1" applyBorder="1" applyAlignment="1">
      <alignment horizontal="center" vertical="center" textRotation="90" wrapText="1"/>
    </xf>
    <xf numFmtId="0" fontId="15" fillId="0" borderId="18" xfId="4" applyFont="1" applyFill="1" applyBorder="1" applyAlignment="1">
      <alignment horizontal="center" textRotation="90" wrapText="1"/>
    </xf>
    <xf numFmtId="0" fontId="15" fillId="0" borderId="49" xfId="4" applyFont="1" applyFill="1" applyBorder="1" applyAlignment="1">
      <alignment horizontal="center" textRotation="90" wrapText="1"/>
    </xf>
    <xf numFmtId="0" fontId="16" fillId="0" borderId="0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/>
    </xf>
    <xf numFmtId="0" fontId="15" fillId="0" borderId="2" xfId="4" applyFont="1" applyFill="1" applyBorder="1" applyAlignment="1">
      <alignment horizontal="center" vertical="center" textRotation="90" wrapText="1"/>
    </xf>
    <xf numFmtId="0" fontId="10" fillId="0" borderId="2" xfId="4" applyFont="1" applyFill="1" applyBorder="1" applyAlignment="1">
      <alignment horizontal="center" vertical="center" textRotation="90" wrapText="1"/>
    </xf>
    <xf numFmtId="0" fontId="10" fillId="0" borderId="13" xfId="4" applyFont="1" applyFill="1" applyBorder="1" applyAlignment="1">
      <alignment horizontal="center" vertical="center" textRotation="90" wrapText="1"/>
    </xf>
    <xf numFmtId="0" fontId="10" fillId="0" borderId="14" xfId="4" applyFont="1" applyFill="1" applyBorder="1" applyAlignment="1">
      <alignment horizontal="center" vertical="center" textRotation="90" wrapText="1"/>
    </xf>
    <xf numFmtId="49" fontId="16" fillId="0" borderId="4" xfId="4" applyNumberFormat="1" applyFont="1" applyFill="1" applyBorder="1" applyAlignment="1">
      <alignment horizontal="center" vertical="top" wrapText="1"/>
    </xf>
    <xf numFmtId="49" fontId="16" fillId="0" borderId="0" xfId="4" applyNumberFormat="1" applyFont="1" applyFill="1" applyBorder="1" applyAlignment="1">
      <alignment horizontal="center" vertical="top" wrapText="1"/>
    </xf>
    <xf numFmtId="49" fontId="16" fillId="0" borderId="12" xfId="0" applyNumberFormat="1" applyFont="1" applyFill="1" applyBorder="1" applyAlignment="1">
      <alignment horizontal="left" vertical="top" wrapText="1"/>
    </xf>
    <xf numFmtId="49" fontId="16" fillId="0" borderId="13" xfId="0" applyNumberFormat="1" applyFont="1" applyFill="1" applyBorder="1" applyAlignment="1">
      <alignment horizontal="left" vertical="top" wrapText="1"/>
    </xf>
    <xf numFmtId="49" fontId="15" fillId="0" borderId="61" xfId="4" applyNumberFormat="1" applyFont="1" applyFill="1" applyBorder="1" applyAlignment="1">
      <alignment horizontal="left" vertical="top" wrapText="1"/>
    </xf>
    <xf numFmtId="49" fontId="15" fillId="0" borderId="60" xfId="4" applyNumberFormat="1" applyFont="1" applyFill="1" applyBorder="1" applyAlignment="1">
      <alignment horizontal="left" vertical="top" wrapText="1"/>
    </xf>
    <xf numFmtId="49" fontId="15" fillId="0" borderId="62" xfId="4" applyNumberFormat="1" applyFont="1" applyFill="1" applyBorder="1" applyAlignment="1">
      <alignment horizontal="left" vertical="top" wrapText="1"/>
    </xf>
    <xf numFmtId="49" fontId="16" fillId="0" borderId="14" xfId="4" applyNumberFormat="1" applyFont="1" applyFill="1" applyBorder="1" applyAlignment="1">
      <alignment horizontal="left" vertical="top" wrapText="1"/>
    </xf>
    <xf numFmtId="49" fontId="16" fillId="0" borderId="13" xfId="5" applyNumberFormat="1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2" fontId="16" fillId="0" borderId="12" xfId="0" applyNumberFormat="1" applyFont="1" applyFill="1" applyBorder="1" applyAlignment="1">
      <alignment horizontal="center" vertical="center" shrinkToFit="1"/>
    </xf>
    <xf numFmtId="0" fontId="10" fillId="0" borderId="13" xfId="0" applyFont="1" applyFill="1" applyBorder="1" applyAlignment="1">
      <alignment horizontal="center" vertical="center" shrinkToFit="1"/>
    </xf>
    <xf numFmtId="2" fontId="16" fillId="0" borderId="43" xfId="0" applyNumberFormat="1" applyFont="1" applyFill="1" applyBorder="1" applyAlignment="1">
      <alignment horizontal="center" vertical="center" shrinkToFit="1"/>
    </xf>
    <xf numFmtId="0" fontId="10" fillId="0" borderId="18" xfId="0" applyFont="1" applyFill="1" applyBorder="1" applyAlignment="1">
      <alignment horizontal="center" vertical="center" shrinkToFit="1"/>
    </xf>
    <xf numFmtId="2" fontId="16" fillId="0" borderId="13" xfId="0" applyNumberFormat="1" applyFont="1" applyFill="1" applyBorder="1" applyAlignment="1">
      <alignment horizontal="center" vertical="center" shrinkToFit="1"/>
    </xf>
    <xf numFmtId="49" fontId="15" fillId="0" borderId="34" xfId="4" applyNumberFormat="1" applyFont="1" applyFill="1" applyBorder="1" applyAlignment="1">
      <alignment horizontal="left" vertical="top" wrapText="1"/>
    </xf>
    <xf numFmtId="49" fontId="16" fillId="0" borderId="12" xfId="5" applyNumberFormat="1" applyFont="1" applyFill="1" applyBorder="1" applyAlignment="1">
      <alignment horizontal="left" vertical="top" wrapText="1"/>
    </xf>
    <xf numFmtId="2" fontId="16" fillId="0" borderId="18" xfId="0" applyNumberFormat="1" applyFont="1" applyFill="1" applyBorder="1" applyAlignment="1">
      <alignment horizontal="center" vertical="center" shrinkToFit="1"/>
    </xf>
    <xf numFmtId="49" fontId="15" fillId="0" borderId="27" xfId="0" applyNumberFormat="1" applyFont="1" applyFill="1" applyBorder="1" applyAlignment="1">
      <alignment horizontal="left" vertical="top" wrapText="1"/>
    </xf>
    <xf numFmtId="49" fontId="15" fillId="0" borderId="32" xfId="0" applyNumberFormat="1" applyFont="1" applyFill="1" applyBorder="1" applyAlignment="1">
      <alignment horizontal="left" vertical="top" wrapText="1"/>
    </xf>
    <xf numFmtId="2" fontId="16" fillId="0" borderId="12" xfId="5" applyNumberFormat="1" applyFont="1" applyFill="1" applyBorder="1" applyAlignment="1">
      <alignment horizontal="center" vertical="center" shrinkToFit="1"/>
    </xf>
    <xf numFmtId="2" fontId="16" fillId="0" borderId="13" xfId="5" applyNumberFormat="1" applyFont="1" applyFill="1" applyBorder="1" applyAlignment="1">
      <alignment horizontal="center" vertical="center" shrinkToFit="1"/>
    </xf>
    <xf numFmtId="2" fontId="16" fillId="0" borderId="43" xfId="5" applyNumberFormat="1" applyFont="1" applyFill="1" applyBorder="1" applyAlignment="1">
      <alignment horizontal="center" vertical="center" shrinkToFit="1"/>
    </xf>
    <xf numFmtId="2" fontId="16" fillId="0" borderId="18" xfId="5" applyNumberFormat="1" applyFont="1" applyFill="1" applyBorder="1" applyAlignment="1">
      <alignment horizontal="center" vertical="center" shrinkToFit="1"/>
    </xf>
    <xf numFmtId="49" fontId="15" fillId="0" borderId="27" xfId="5" applyNumberFormat="1" applyFont="1" applyFill="1" applyBorder="1" applyAlignment="1">
      <alignment horizontal="left" vertical="top" wrapText="1"/>
    </xf>
    <xf numFmtId="49" fontId="15" fillId="0" borderId="34" xfId="5" applyNumberFormat="1" applyFont="1" applyFill="1" applyBorder="1" applyAlignment="1">
      <alignment horizontal="left" vertical="top" wrapText="1"/>
    </xf>
    <xf numFmtId="49" fontId="15" fillId="0" borderId="32" xfId="5" applyNumberFormat="1" applyFont="1" applyFill="1" applyBorder="1" applyAlignment="1">
      <alignment horizontal="left" vertical="top" wrapText="1"/>
    </xf>
    <xf numFmtId="49" fontId="7" fillId="24" borderId="12" xfId="5" applyNumberFormat="1" applyFont="1" applyFill="1" applyBorder="1" applyAlignment="1">
      <alignment horizontal="left" vertical="top" wrapText="1"/>
    </xf>
    <xf numFmtId="49" fontId="7" fillId="24" borderId="13" xfId="5" applyNumberFormat="1" applyFont="1" applyFill="1" applyBorder="1" applyAlignment="1">
      <alignment horizontal="left" vertical="top" wrapText="1"/>
    </xf>
    <xf numFmtId="49" fontId="7" fillId="24" borderId="14" xfId="5" applyNumberFormat="1" applyFont="1" applyFill="1" applyBorder="1" applyAlignment="1">
      <alignment horizontal="left" vertical="top" wrapText="1"/>
    </xf>
    <xf numFmtId="49" fontId="7" fillId="24" borderId="12" xfId="4" applyNumberFormat="1" applyFont="1" applyFill="1" applyBorder="1" applyAlignment="1">
      <alignment horizontal="left" vertical="top" wrapText="1"/>
    </xf>
    <xf numFmtId="49" fontId="7" fillId="24" borderId="13" xfId="4" applyNumberFormat="1" applyFont="1" applyFill="1" applyBorder="1" applyAlignment="1">
      <alignment horizontal="left" vertical="top" wrapText="1"/>
    </xf>
    <xf numFmtId="2" fontId="2" fillId="24" borderId="12" xfId="5" applyNumberFormat="1" applyFont="1" applyFill="1" applyBorder="1" applyAlignment="1">
      <alignment horizontal="center" vertical="center" shrinkToFit="1"/>
    </xf>
    <xf numFmtId="2" fontId="2" fillId="24" borderId="13" xfId="5" applyNumberFormat="1" applyFont="1" applyFill="1" applyBorder="1" applyAlignment="1">
      <alignment horizontal="center" vertical="center" shrinkToFit="1"/>
    </xf>
    <xf numFmtId="2" fontId="2" fillId="24" borderId="43" xfId="4" applyNumberFormat="1" applyFont="1" applyFill="1" applyBorder="1" applyAlignment="1">
      <alignment horizontal="center" vertical="center" shrinkToFit="1"/>
    </xf>
    <xf numFmtId="2" fontId="2" fillId="24" borderId="18" xfId="4" applyNumberFormat="1" applyFont="1" applyFill="1" applyBorder="1" applyAlignment="1">
      <alignment horizontal="center" vertical="center" shrinkToFit="1"/>
    </xf>
    <xf numFmtId="49" fontId="16" fillId="24" borderId="13" xfId="4" applyNumberFormat="1" applyFont="1" applyFill="1" applyBorder="1" applyAlignment="1">
      <alignment horizontal="left" vertical="top" wrapText="1"/>
    </xf>
    <xf numFmtId="49" fontId="16" fillId="24" borderId="12" xfId="5" applyNumberFormat="1" applyFont="1" applyFill="1" applyBorder="1" applyAlignment="1">
      <alignment horizontal="left" vertical="top" wrapText="1"/>
    </xf>
    <xf numFmtId="49" fontId="16" fillId="24" borderId="13" xfId="5" applyNumberFormat="1" applyFont="1" applyFill="1" applyBorder="1" applyAlignment="1">
      <alignment horizontal="left" vertical="top" wrapText="1"/>
    </xf>
    <xf numFmtId="2" fontId="2" fillId="24" borderId="43" xfId="5" applyNumberFormat="1" applyFont="1" applyFill="1" applyBorder="1" applyAlignment="1">
      <alignment horizontal="center" vertical="center" shrinkToFit="1"/>
    </xf>
    <xf numFmtId="2" fontId="2" fillId="24" borderId="18" xfId="5" applyNumberFormat="1" applyFont="1" applyFill="1" applyBorder="1" applyAlignment="1">
      <alignment horizontal="center" vertical="center" shrinkToFit="1"/>
    </xf>
    <xf numFmtId="49" fontId="5" fillId="24" borderId="27" xfId="5" applyNumberFormat="1" applyFont="1" applyFill="1" applyBorder="1" applyAlignment="1">
      <alignment horizontal="left" vertical="top" wrapText="1"/>
    </xf>
    <xf numFmtId="49" fontId="5" fillId="24" borderId="34" xfId="5" applyNumberFormat="1" applyFont="1" applyFill="1" applyBorder="1" applyAlignment="1">
      <alignment horizontal="left" vertical="top" wrapText="1"/>
    </xf>
    <xf numFmtId="49" fontId="2" fillId="24" borderId="4" xfId="4" applyNumberFormat="1" applyFont="1" applyFill="1" applyBorder="1" applyAlignment="1">
      <alignment horizontal="center" vertical="top" wrapText="1"/>
    </xf>
    <xf numFmtId="49" fontId="2" fillId="24" borderId="0" xfId="4" applyNumberFormat="1" applyFont="1" applyFill="1" applyBorder="1" applyAlignment="1">
      <alignment horizontal="center" vertical="top" wrapText="1"/>
    </xf>
    <xf numFmtId="49" fontId="18" fillId="24" borderId="12" xfId="4" applyNumberFormat="1" applyFont="1" applyFill="1" applyBorder="1" applyAlignment="1">
      <alignment horizontal="left" vertical="top" wrapText="1"/>
    </xf>
    <xf numFmtId="49" fontId="18" fillId="24" borderId="13" xfId="4" applyNumberFormat="1" applyFont="1" applyFill="1" applyBorder="1" applyAlignment="1">
      <alignment horizontal="left" vertical="top" wrapText="1"/>
    </xf>
    <xf numFmtId="49" fontId="5" fillId="24" borderId="61" xfId="4" applyNumberFormat="1" applyFont="1" applyFill="1" applyBorder="1" applyAlignment="1">
      <alignment horizontal="left" vertical="top" wrapText="1"/>
    </xf>
    <xf numFmtId="49" fontId="5" fillId="24" borderId="60" xfId="4" applyNumberFormat="1" applyFont="1" applyFill="1" applyBorder="1" applyAlignment="1">
      <alignment horizontal="left" vertical="top" wrapText="1"/>
    </xf>
    <xf numFmtId="49" fontId="5" fillId="24" borderId="32" xfId="5" applyNumberFormat="1" applyFont="1" applyFill="1" applyBorder="1" applyAlignment="1">
      <alignment horizontal="left" vertical="top" wrapText="1"/>
    </xf>
    <xf numFmtId="0" fontId="13" fillId="0" borderId="73" xfId="4" applyNumberFormat="1" applyFont="1" applyFill="1" applyBorder="1" applyAlignment="1">
      <alignment horizontal="center" vertical="top"/>
    </xf>
    <xf numFmtId="0" fontId="13" fillId="0" borderId="75" xfId="4" applyNumberFormat="1" applyFont="1" applyFill="1" applyBorder="1" applyAlignment="1">
      <alignment horizontal="center" vertical="top"/>
    </xf>
    <xf numFmtId="49" fontId="16" fillId="24" borderId="4" xfId="5" applyNumberFormat="1" applyFont="1" applyFill="1" applyBorder="1" applyAlignment="1">
      <alignment horizontal="center" vertical="top" wrapText="1"/>
    </xf>
    <xf numFmtId="49" fontId="16" fillId="24" borderId="0" xfId="5" applyNumberFormat="1" applyFont="1" applyFill="1" applyBorder="1" applyAlignment="1">
      <alignment horizontal="center" vertical="top" wrapText="1"/>
    </xf>
    <xf numFmtId="2" fontId="16" fillId="24" borderId="43" xfId="5" applyNumberFormat="1" applyFont="1" applyFill="1" applyBorder="1" applyAlignment="1">
      <alignment horizontal="center" vertical="center" shrinkToFit="1"/>
    </xf>
    <xf numFmtId="2" fontId="16" fillId="24" borderId="18" xfId="5" applyNumberFormat="1" applyFont="1" applyFill="1" applyBorder="1" applyAlignment="1">
      <alignment horizontal="center" vertical="center" shrinkToFit="1"/>
    </xf>
    <xf numFmtId="49" fontId="15" fillId="24" borderId="27" xfId="5" applyNumberFormat="1" applyFont="1" applyFill="1" applyBorder="1" applyAlignment="1">
      <alignment horizontal="left" vertical="top" wrapText="1"/>
    </xf>
    <xf numFmtId="49" fontId="15" fillId="24" borderId="34" xfId="5" applyNumberFormat="1" applyFont="1" applyFill="1" applyBorder="1" applyAlignment="1">
      <alignment horizontal="left" vertical="top" wrapText="1"/>
    </xf>
    <xf numFmtId="49" fontId="16" fillId="24" borderId="0" xfId="5" applyNumberFormat="1" applyFont="1" applyFill="1" applyAlignment="1">
      <alignment horizontal="center" vertical="top" wrapText="1"/>
    </xf>
  </cellXfs>
  <cellStyles count="69">
    <cellStyle name="20% - Акцент1" xfId="6"/>
    <cellStyle name="20% - Акцент2" xfId="7"/>
    <cellStyle name="20% - Акцент3" xfId="8"/>
    <cellStyle name="20% - Акцент4" xfId="9"/>
    <cellStyle name="20% - Акцент5" xfId="10"/>
    <cellStyle name="20% - Акцент6" xfId="11"/>
    <cellStyle name="40% - Акцент1" xfId="12"/>
    <cellStyle name="40% - Акцент2" xfId="13"/>
    <cellStyle name="40% - Акцент3" xfId="14"/>
    <cellStyle name="40% - Акцент4" xfId="15"/>
    <cellStyle name="40% - Акцент5" xfId="16"/>
    <cellStyle name="40% - Акцент6" xfId="17"/>
    <cellStyle name="60% - Акцент1" xfId="18"/>
    <cellStyle name="60% - Акцент2" xfId="19"/>
    <cellStyle name="60% - Акцент3" xfId="20"/>
    <cellStyle name="60% - Акцент4" xfId="21"/>
    <cellStyle name="60% - Акцент5" xfId="22"/>
    <cellStyle name="60% - Акцент6" xfId="23"/>
    <cellStyle name="Comma 2" xfId="24"/>
    <cellStyle name="Normal" xfId="0" builtinId="0"/>
    <cellStyle name="Normal 10" xfId="25"/>
    <cellStyle name="Normal 2" xfId="2"/>
    <cellStyle name="Normal 2 2" xfId="1"/>
    <cellStyle name="Normal 2 2 2" xfId="5"/>
    <cellStyle name="Normal 2 2 3" xfId="26"/>
    <cellStyle name="Normal 2 2_ALL 2011 tiv" xfId="27"/>
    <cellStyle name="Normal 2 3" xfId="28"/>
    <cellStyle name="Normal 2 4" xfId="29"/>
    <cellStyle name="Normal 2_1.Копия SMETA BANADZEV-26.08.2015 (1) (1)" xfId="30"/>
    <cellStyle name="Normal 3" xfId="4"/>
    <cellStyle name="Normal 3 2" xfId="31"/>
    <cellStyle name="Normal 3 2 2" xfId="32"/>
    <cellStyle name="Normal 3 3" xfId="33"/>
    <cellStyle name="Normal 3_1.Копия SMETA BANADZEV-26.08.2015 (1) (1)" xfId="34"/>
    <cellStyle name="Normal 4" xfId="35"/>
    <cellStyle name="Normal 5" xfId="36"/>
    <cellStyle name="Normal 6" xfId="37"/>
    <cellStyle name="Normal 7" xfId="38"/>
    <cellStyle name="Normal 7 2" xfId="39"/>
    <cellStyle name="Normal 8" xfId="40"/>
    <cellStyle name="Normal 9" xfId="41"/>
    <cellStyle name="Normal_Artchut-2_plotina 2" xfId="3"/>
    <cellStyle name="Percent 2" xfId="42"/>
    <cellStyle name="Акцент1" xfId="43"/>
    <cellStyle name="Акцент2" xfId="44"/>
    <cellStyle name="Акцент3" xfId="45"/>
    <cellStyle name="Акцент4" xfId="46"/>
    <cellStyle name="Акцент5" xfId="47"/>
    <cellStyle name="Акцент6" xfId="48"/>
    <cellStyle name="Ввод " xfId="49"/>
    <cellStyle name="Вывод" xfId="50"/>
    <cellStyle name="Вычисление" xfId="51"/>
    <cellStyle name="Заголовок 1" xfId="52"/>
    <cellStyle name="Заголовок 2" xfId="53"/>
    <cellStyle name="Заголовок 3" xfId="54"/>
    <cellStyle name="Заголовок 4" xfId="55"/>
    <cellStyle name="Итог" xfId="56"/>
    <cellStyle name="Контрольная ячейка" xfId="57"/>
    <cellStyle name="Название" xfId="58"/>
    <cellStyle name="Нейтральный" xfId="59"/>
    <cellStyle name="Обычный 2" xfId="60"/>
    <cellStyle name="Обычный 2 2" xfId="61"/>
    <cellStyle name="Обычный 3" xfId="62"/>
    <cellStyle name="Плохой" xfId="63"/>
    <cellStyle name="Пояснение" xfId="64"/>
    <cellStyle name="Примечание" xfId="65"/>
    <cellStyle name="Связанная ячейка" xfId="66"/>
    <cellStyle name="Текст предупреждения" xfId="67"/>
    <cellStyle name="Хороший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0"/>
  <sheetViews>
    <sheetView tabSelected="1" workbookViewId="0">
      <selection activeCell="W391" sqref="W391"/>
    </sheetView>
  </sheetViews>
  <sheetFormatPr defaultRowHeight="12.75"/>
  <cols>
    <col min="1" max="1" width="3.85546875" style="322" customWidth="1"/>
    <col min="2" max="2" width="7.42578125" style="65" hidden="1" customWidth="1"/>
    <col min="3" max="3" width="56.140625" style="323" customWidth="1"/>
    <col min="4" max="4" width="6.7109375" style="45" customWidth="1"/>
    <col min="5" max="5" width="8.7109375" style="321" customWidth="1"/>
    <col min="6" max="6" width="0.140625" style="41" customWidth="1"/>
    <col min="7" max="7" width="5.85546875" style="42" hidden="1" customWidth="1"/>
    <col min="8" max="9" width="0.7109375" style="41" hidden="1" customWidth="1"/>
    <col min="10" max="10" width="5.85546875" style="42" hidden="1" customWidth="1"/>
    <col min="11" max="11" width="0.7109375" style="41" hidden="1" customWidth="1"/>
    <col min="12" max="12" width="21" style="38" hidden="1" customWidth="1"/>
    <col min="13" max="13" width="6.5703125" style="39" hidden="1" customWidth="1"/>
    <col min="14" max="14" width="6.5703125" style="40" hidden="1" customWidth="1"/>
    <col min="15" max="15" width="6.5703125" style="321" hidden="1" customWidth="1"/>
    <col min="16" max="16" width="6.5703125" style="41" hidden="1" customWidth="1"/>
    <col min="17" max="17" width="6.5703125" style="42" hidden="1" customWidth="1"/>
    <col min="18" max="18" width="0.42578125" style="321" hidden="1" customWidth="1"/>
    <col min="19" max="19" width="8" style="321" customWidth="1"/>
    <col min="20" max="20" width="11.42578125" style="324" customWidth="1"/>
    <col min="21" max="23" width="9.140625" style="20"/>
    <col min="24" max="16384" width="9.140625" style="19"/>
  </cols>
  <sheetData>
    <row r="1" spans="1:23" s="128" customFormat="1" ht="0.75" customHeight="1">
      <c r="U1" s="129"/>
      <c r="V1" s="129"/>
      <c r="W1" s="129"/>
    </row>
    <row r="2" spans="1:23" s="130" customFormat="1" ht="15.75" hidden="1">
      <c r="E2" s="131" t="s">
        <v>30</v>
      </c>
      <c r="F2" s="131"/>
      <c r="G2" s="132"/>
      <c r="H2" s="132"/>
      <c r="I2" s="132"/>
      <c r="J2" s="132"/>
      <c r="K2" s="132"/>
      <c r="L2" s="132"/>
      <c r="M2" s="133" t="s">
        <v>77</v>
      </c>
      <c r="N2" s="134"/>
      <c r="O2" s="134"/>
      <c r="U2" s="135"/>
      <c r="V2" s="135"/>
      <c r="W2" s="135"/>
    </row>
    <row r="3" spans="1:23" s="136" customFormat="1" hidden="1">
      <c r="U3" s="137"/>
      <c r="V3" s="137"/>
      <c r="W3" s="137"/>
    </row>
    <row r="4" spans="1:23" s="136" customFormat="1" ht="14.25" hidden="1" customHeight="1">
      <c r="C4" s="698" t="s">
        <v>29</v>
      </c>
      <c r="D4" s="698"/>
      <c r="E4" s="698"/>
      <c r="F4" s="698"/>
      <c r="G4" s="698"/>
      <c r="H4" s="698"/>
      <c r="I4" s="698"/>
      <c r="J4" s="698"/>
      <c r="K4" s="698"/>
      <c r="L4" s="698"/>
      <c r="M4" s="698"/>
      <c r="N4" s="698"/>
      <c r="O4" s="698"/>
      <c r="P4" s="698"/>
      <c r="Q4" s="698"/>
      <c r="R4" s="698"/>
      <c r="U4" s="137"/>
      <c r="V4" s="137"/>
      <c r="W4" s="137"/>
    </row>
    <row r="5" spans="1:23" s="136" customFormat="1" ht="12.75" hidden="1" customHeight="1">
      <c r="E5" s="699" t="s">
        <v>0</v>
      </c>
      <c r="F5" s="699"/>
      <c r="G5" s="699"/>
      <c r="H5" s="699"/>
      <c r="I5" s="699"/>
      <c r="J5" s="699"/>
      <c r="K5" s="699"/>
      <c r="L5" s="699"/>
      <c r="M5" s="699"/>
      <c r="N5" s="699"/>
      <c r="O5" s="700"/>
      <c r="P5" s="700"/>
      <c r="Q5" s="700"/>
      <c r="R5" s="700"/>
      <c r="U5" s="137"/>
      <c r="V5" s="137"/>
      <c r="W5" s="137"/>
    </row>
    <row r="6" spans="1:23" s="136" customFormat="1" ht="30" customHeight="1">
      <c r="A6" s="705" t="s">
        <v>111</v>
      </c>
      <c r="B6" s="705"/>
      <c r="C6" s="705"/>
      <c r="D6" s="705"/>
      <c r="E6" s="705"/>
      <c r="F6" s="705"/>
      <c r="G6" s="705"/>
      <c r="H6" s="705"/>
      <c r="I6" s="705"/>
      <c r="J6" s="705"/>
      <c r="K6" s="705"/>
      <c r="L6" s="705"/>
      <c r="M6" s="705"/>
      <c r="N6" s="705"/>
      <c r="O6" s="705"/>
      <c r="P6" s="705"/>
      <c r="Q6" s="705"/>
      <c r="R6" s="705"/>
      <c r="S6" s="705"/>
      <c r="T6" s="705"/>
      <c r="U6" s="137"/>
      <c r="V6" s="137"/>
      <c r="W6" s="137"/>
    </row>
    <row r="7" spans="1:23" s="136" customFormat="1">
      <c r="U7" s="137"/>
      <c r="V7" s="137"/>
      <c r="W7" s="137"/>
    </row>
    <row r="8" spans="1:23" s="136" customFormat="1" ht="12" customHeight="1">
      <c r="A8" s="706" t="s">
        <v>255</v>
      </c>
      <c r="B8" s="706"/>
      <c r="C8" s="706"/>
      <c r="D8" s="706"/>
      <c r="E8" s="706"/>
      <c r="F8" s="706"/>
      <c r="G8" s="706"/>
      <c r="H8" s="706"/>
      <c r="I8" s="706"/>
      <c r="J8" s="706"/>
      <c r="K8" s="706"/>
      <c r="L8" s="706"/>
      <c r="M8" s="706"/>
      <c r="N8" s="706"/>
      <c r="O8" s="706"/>
      <c r="P8" s="706"/>
      <c r="Q8" s="706"/>
      <c r="R8" s="706"/>
      <c r="S8" s="706"/>
      <c r="T8" s="706"/>
      <c r="U8" s="137"/>
      <c r="V8" s="137"/>
      <c r="W8" s="137"/>
    </row>
    <row r="9" spans="1:23" s="136" customFormat="1" hidden="1">
      <c r="A9" s="701" t="s">
        <v>1</v>
      </c>
      <c r="B9" s="701"/>
      <c r="C9" s="136" t="s">
        <v>52</v>
      </c>
      <c r="O9" s="138" t="s">
        <v>4</v>
      </c>
      <c r="P9" s="702" t="e">
        <f>#REF!</f>
        <v>#REF!</v>
      </c>
      <c r="Q9" s="703"/>
      <c r="R9" s="703"/>
      <c r="S9" s="139" t="s">
        <v>7</v>
      </c>
      <c r="U9" s="137"/>
      <c r="V9" s="137"/>
      <c r="W9" s="137"/>
    </row>
    <row r="10" spans="1:23" s="136" customFormat="1" ht="15.75" hidden="1">
      <c r="A10" s="616"/>
      <c r="B10" s="616"/>
      <c r="C10" s="140"/>
      <c r="D10" s="140"/>
      <c r="E10" s="704"/>
      <c r="F10" s="704"/>
      <c r="G10" s="704"/>
      <c r="N10" s="141"/>
      <c r="P10" s="142"/>
      <c r="Q10" s="143"/>
      <c r="R10" s="143"/>
      <c r="T10" s="139"/>
      <c r="U10" s="137"/>
      <c r="V10" s="137"/>
      <c r="W10" s="137"/>
    </row>
    <row r="11" spans="1:23" s="136" customFormat="1" ht="14.25" hidden="1">
      <c r="A11" s="144" t="s">
        <v>2</v>
      </c>
      <c r="B11" s="144"/>
      <c r="C11" s="144"/>
      <c r="D11" s="709">
        <v>188004</v>
      </c>
      <c r="E11" s="710"/>
      <c r="F11" s="710"/>
      <c r="G11" s="145" t="s">
        <v>3</v>
      </c>
      <c r="H11" s="127"/>
      <c r="I11" s="127"/>
      <c r="J11" s="145"/>
      <c r="K11" s="145"/>
      <c r="L11" s="145"/>
      <c r="M11" s="146" t="s">
        <v>248</v>
      </c>
      <c r="N11" s="711">
        <f>1.02*1.05*1.0657</f>
        <v>1.1413647000000002</v>
      </c>
      <c r="O11" s="712"/>
      <c r="P11" s="712"/>
      <c r="Q11" s="127"/>
      <c r="R11" s="147"/>
      <c r="S11" s="127"/>
      <c r="T11" s="127"/>
      <c r="U11" s="137"/>
      <c r="V11" s="137"/>
      <c r="W11" s="137"/>
    </row>
    <row r="12" spans="1:23" s="136" customFormat="1" hidden="1">
      <c r="A12" s="144"/>
      <c r="B12" s="144"/>
      <c r="C12" s="144"/>
      <c r="D12" s="144"/>
      <c r="E12" s="148"/>
      <c r="F12" s="148"/>
      <c r="G12" s="145"/>
      <c r="H12" s="127"/>
      <c r="I12" s="127"/>
      <c r="J12" s="145"/>
      <c r="K12" s="145"/>
      <c r="L12" s="145"/>
      <c r="M12" s="127"/>
      <c r="N12" s="127"/>
      <c r="O12" s="127"/>
      <c r="P12" s="127"/>
      <c r="Q12" s="127"/>
      <c r="R12" s="147"/>
      <c r="S12" s="127"/>
      <c r="T12" s="127"/>
      <c r="U12" s="137"/>
      <c r="V12" s="137"/>
      <c r="W12" s="137"/>
    </row>
    <row r="13" spans="1:23" s="136" customFormat="1" hidden="1">
      <c r="A13" s="144" t="s">
        <v>21</v>
      </c>
      <c r="B13" s="149"/>
      <c r="C13" s="149"/>
      <c r="D13" s="149"/>
      <c r="E13" s="149"/>
      <c r="F13" s="144"/>
      <c r="G13" s="150" t="s">
        <v>22</v>
      </c>
      <c r="H13" s="144"/>
      <c r="I13" s="151"/>
      <c r="J13" s="713">
        <v>1736.76</v>
      </c>
      <c r="K13" s="714"/>
      <c r="L13" s="714"/>
      <c r="M13" s="152"/>
      <c r="N13" s="150"/>
      <c r="O13" s="150"/>
      <c r="P13" s="150" t="s">
        <v>23</v>
      </c>
      <c r="Q13" s="713">
        <v>2634.81</v>
      </c>
      <c r="R13" s="714"/>
      <c r="S13" s="714"/>
      <c r="T13" s="151"/>
      <c r="U13" s="137"/>
      <c r="V13" s="137"/>
      <c r="W13" s="137"/>
    </row>
    <row r="14" spans="1:23" s="128" customFormat="1" ht="13.5" thickBot="1">
      <c r="R14" s="153"/>
      <c r="U14" s="129"/>
      <c r="V14" s="129"/>
      <c r="W14" s="129"/>
    </row>
    <row r="15" spans="1:23" s="154" customFormat="1" ht="18" customHeight="1" thickTop="1">
      <c r="A15" s="715" t="s">
        <v>16</v>
      </c>
      <c r="B15" s="718" t="s">
        <v>5</v>
      </c>
      <c r="C15" s="721" t="s">
        <v>6</v>
      </c>
      <c r="D15" s="724" t="s">
        <v>8</v>
      </c>
      <c r="E15" s="724" t="s">
        <v>9</v>
      </c>
      <c r="F15" s="727" t="s">
        <v>17</v>
      </c>
      <c r="G15" s="728"/>
      <c r="H15" s="728"/>
      <c r="I15" s="727" t="s">
        <v>19</v>
      </c>
      <c r="J15" s="728"/>
      <c r="K15" s="744"/>
      <c r="L15" s="747" t="s">
        <v>11</v>
      </c>
      <c r="M15" s="748"/>
      <c r="N15" s="748"/>
      <c r="O15" s="748"/>
      <c r="P15" s="748"/>
      <c r="Q15" s="748"/>
      <c r="R15" s="727" t="s">
        <v>18</v>
      </c>
      <c r="S15" s="724" t="s">
        <v>12</v>
      </c>
      <c r="T15" s="753" t="s">
        <v>13</v>
      </c>
    </row>
    <row r="16" spans="1:23" s="154" customFormat="1" ht="22.5" customHeight="1">
      <c r="A16" s="716"/>
      <c r="B16" s="719"/>
      <c r="C16" s="722"/>
      <c r="D16" s="725"/>
      <c r="E16" s="725"/>
      <c r="F16" s="729"/>
      <c r="G16" s="730"/>
      <c r="H16" s="730"/>
      <c r="I16" s="729"/>
      <c r="J16" s="730"/>
      <c r="K16" s="745"/>
      <c r="L16" s="700" t="s">
        <v>10</v>
      </c>
      <c r="M16" s="758" t="s">
        <v>8</v>
      </c>
      <c r="N16" s="741" t="s">
        <v>20</v>
      </c>
      <c r="O16" s="741" t="s">
        <v>14</v>
      </c>
      <c r="P16" s="741" t="s">
        <v>15</v>
      </c>
      <c r="Q16" s="741" t="s">
        <v>182</v>
      </c>
      <c r="R16" s="749"/>
      <c r="S16" s="751"/>
      <c r="T16" s="754"/>
    </row>
    <row r="17" spans="1:20" s="154" customFormat="1" ht="22.5" customHeight="1">
      <c r="A17" s="716"/>
      <c r="B17" s="719"/>
      <c r="C17" s="722"/>
      <c r="D17" s="725"/>
      <c r="E17" s="725"/>
      <c r="F17" s="729"/>
      <c r="G17" s="730"/>
      <c r="H17" s="730"/>
      <c r="I17" s="729"/>
      <c r="J17" s="730"/>
      <c r="K17" s="745"/>
      <c r="L17" s="756"/>
      <c r="M17" s="759"/>
      <c r="N17" s="751"/>
      <c r="O17" s="751"/>
      <c r="P17" s="760"/>
      <c r="Q17" s="742"/>
      <c r="R17" s="749"/>
      <c r="S17" s="751"/>
      <c r="T17" s="754"/>
    </row>
    <row r="18" spans="1:20" s="154" customFormat="1" ht="22.5" customHeight="1">
      <c r="A18" s="716"/>
      <c r="B18" s="719"/>
      <c r="C18" s="722"/>
      <c r="D18" s="725"/>
      <c r="E18" s="725"/>
      <c r="F18" s="729"/>
      <c r="G18" s="730"/>
      <c r="H18" s="730"/>
      <c r="I18" s="729"/>
      <c r="J18" s="730"/>
      <c r="K18" s="745"/>
      <c r="L18" s="756"/>
      <c r="M18" s="759"/>
      <c r="N18" s="751"/>
      <c r="O18" s="751"/>
      <c r="P18" s="760"/>
      <c r="Q18" s="742"/>
      <c r="R18" s="749"/>
      <c r="S18" s="751"/>
      <c r="T18" s="754"/>
    </row>
    <row r="19" spans="1:20" s="154" customFormat="1" ht="22.5" customHeight="1">
      <c r="A19" s="717"/>
      <c r="B19" s="720"/>
      <c r="C19" s="723"/>
      <c r="D19" s="726"/>
      <c r="E19" s="726"/>
      <c r="F19" s="731"/>
      <c r="G19" s="732"/>
      <c r="H19" s="732"/>
      <c r="I19" s="731"/>
      <c r="J19" s="732"/>
      <c r="K19" s="746"/>
      <c r="L19" s="757"/>
      <c r="M19" s="759"/>
      <c r="N19" s="752"/>
      <c r="O19" s="752"/>
      <c r="P19" s="761"/>
      <c r="Q19" s="743"/>
      <c r="R19" s="750"/>
      <c r="S19" s="752"/>
      <c r="T19" s="755"/>
    </row>
    <row r="20" spans="1:20" s="154" customFormat="1" ht="43.5" customHeight="1">
      <c r="A20" s="155"/>
      <c r="B20" s="653" t="s">
        <v>80</v>
      </c>
      <c r="C20" s="654" t="s">
        <v>80</v>
      </c>
      <c r="D20" s="156"/>
      <c r="E20" s="623"/>
      <c r="F20" s="156"/>
      <c r="G20" s="156"/>
      <c r="H20" s="156"/>
      <c r="I20" s="157"/>
      <c r="J20" s="156"/>
      <c r="K20" s="158"/>
      <c r="L20" s="159"/>
      <c r="M20" s="160"/>
      <c r="N20" s="161"/>
      <c r="O20" s="161"/>
      <c r="P20" s="160"/>
      <c r="Q20" s="162"/>
      <c r="R20" s="163"/>
      <c r="S20" s="164"/>
      <c r="T20" s="697">
        <v>3.5499999999999997E-2</v>
      </c>
    </row>
    <row r="21" spans="1:20" ht="12.75" customHeight="1">
      <c r="A21" s="7">
        <v>1</v>
      </c>
      <c r="B21" s="621" t="s">
        <v>113</v>
      </c>
      <c r="C21" s="733" t="s">
        <v>112</v>
      </c>
      <c r="D21" s="43" t="s">
        <v>33</v>
      </c>
      <c r="E21" s="165">
        <f>1.38</f>
        <v>1.38</v>
      </c>
      <c r="F21" s="44"/>
      <c r="G21" s="11">
        <f>13.8*0.6</f>
        <v>8.2799999999999994</v>
      </c>
      <c r="H21" s="44"/>
      <c r="I21" s="10"/>
      <c r="J21" s="11">
        <f>32.1*0.7</f>
        <v>22.47</v>
      </c>
      <c r="K21" s="12"/>
      <c r="L21" s="54"/>
      <c r="M21" s="55"/>
      <c r="N21" s="56"/>
      <c r="O21" s="56"/>
      <c r="P21" s="44"/>
      <c r="Q21" s="166"/>
      <c r="R21" s="18">
        <f>G22+J22</f>
        <v>73.584553499999998</v>
      </c>
      <c r="S21" s="735"/>
      <c r="T21" s="737"/>
    </row>
    <row r="22" spans="1:20" ht="12.75" customHeight="1">
      <c r="A22" s="21"/>
      <c r="B22" s="619"/>
      <c r="C22" s="734"/>
      <c r="E22" s="611"/>
      <c r="G22" s="11">
        <f>G21*$J$13/1000</f>
        <v>14.3803728</v>
      </c>
      <c r="I22" s="22"/>
      <c r="J22" s="11">
        <f>J21*$Q$13/1000</f>
        <v>59.204180699999995</v>
      </c>
      <c r="K22" s="23"/>
      <c r="L22" s="739"/>
      <c r="M22" s="58"/>
      <c r="N22" s="167"/>
      <c r="O22" s="168"/>
      <c r="P22" s="60"/>
      <c r="Q22" s="169"/>
      <c r="R22" s="735">
        <f>SUM(Q22:Q23)</f>
        <v>0</v>
      </c>
      <c r="S22" s="736"/>
      <c r="T22" s="738"/>
    </row>
    <row r="23" spans="1:20" ht="12.75" hidden="1" customHeight="1">
      <c r="A23" s="21"/>
      <c r="C23" s="734"/>
      <c r="E23" s="611"/>
      <c r="I23" s="22"/>
      <c r="K23" s="23"/>
      <c r="L23" s="740"/>
      <c r="M23" s="170"/>
      <c r="N23" s="171"/>
      <c r="O23" s="171"/>
      <c r="P23" s="172"/>
      <c r="Q23" s="173"/>
      <c r="R23" s="736"/>
      <c r="S23" s="736"/>
      <c r="T23" s="738"/>
    </row>
    <row r="24" spans="1:20" ht="12.75" customHeight="1">
      <c r="A24" s="29"/>
      <c r="B24" s="30"/>
      <c r="C24" s="31"/>
      <c r="D24" s="32"/>
      <c r="E24" s="33"/>
      <c r="F24" s="34"/>
      <c r="G24" s="35"/>
      <c r="H24" s="34"/>
      <c r="I24" s="36"/>
      <c r="J24" s="35"/>
      <c r="K24" s="37"/>
      <c r="L24" s="46"/>
      <c r="M24" s="47"/>
      <c r="N24" s="50"/>
      <c r="O24" s="50"/>
      <c r="P24" s="34"/>
      <c r="Q24" s="48"/>
      <c r="R24" s="33"/>
      <c r="S24" s="33"/>
      <c r="T24" s="49"/>
    </row>
    <row r="25" spans="1:20" ht="12.75" customHeight="1">
      <c r="A25" s="7">
        <f>A21+1</f>
        <v>2</v>
      </c>
      <c r="B25" s="621" t="s">
        <v>113</v>
      </c>
      <c r="C25" s="733" t="s">
        <v>114</v>
      </c>
      <c r="D25" s="43" t="s">
        <v>33</v>
      </c>
      <c r="E25" s="165">
        <v>0.12</v>
      </c>
      <c r="F25" s="44"/>
      <c r="G25" s="11">
        <f>13.8*0.6</f>
        <v>8.2799999999999994</v>
      </c>
      <c r="H25" s="44"/>
      <c r="I25" s="10"/>
      <c r="J25" s="11">
        <f>32.1*0.7</f>
        <v>22.47</v>
      </c>
      <c r="K25" s="12"/>
      <c r="L25" s="54"/>
      <c r="M25" s="55"/>
      <c r="N25" s="56"/>
      <c r="O25" s="56"/>
      <c r="P25" s="44"/>
      <c r="Q25" s="166"/>
      <c r="R25" s="18">
        <f>G26+J26</f>
        <v>73.584553499999998</v>
      </c>
      <c r="S25" s="735"/>
      <c r="T25" s="737"/>
    </row>
    <row r="26" spans="1:20" ht="12.75" customHeight="1">
      <c r="A26" s="21"/>
      <c r="B26" s="619"/>
      <c r="C26" s="734"/>
      <c r="E26" s="611"/>
      <c r="G26" s="11">
        <f>G25*$J$13/1000</f>
        <v>14.3803728</v>
      </c>
      <c r="I26" s="22"/>
      <c r="J26" s="11">
        <f>J25*$Q$13/1000</f>
        <v>59.204180699999995</v>
      </c>
      <c r="K26" s="23"/>
      <c r="L26" s="739"/>
      <c r="M26" s="58"/>
      <c r="N26" s="167"/>
      <c r="O26" s="168"/>
      <c r="P26" s="60"/>
      <c r="Q26" s="169"/>
      <c r="R26" s="735">
        <f>SUM(Q26:Q27)</f>
        <v>0</v>
      </c>
      <c r="S26" s="736"/>
      <c r="T26" s="738"/>
    </row>
    <row r="27" spans="1:20" ht="0.75" customHeight="1">
      <c r="A27" s="21"/>
      <c r="C27" s="734"/>
      <c r="E27" s="611"/>
      <c r="I27" s="22"/>
      <c r="K27" s="23"/>
      <c r="L27" s="740"/>
      <c r="M27" s="170"/>
      <c r="N27" s="171"/>
      <c r="O27" s="171"/>
      <c r="P27" s="172"/>
      <c r="Q27" s="173"/>
      <c r="R27" s="736"/>
      <c r="S27" s="736"/>
      <c r="T27" s="738"/>
    </row>
    <row r="28" spans="1:20" ht="12.75" customHeight="1">
      <c r="A28" s="29"/>
      <c r="B28" s="30"/>
      <c r="C28" s="31"/>
      <c r="D28" s="32"/>
      <c r="E28" s="33"/>
      <c r="F28" s="34"/>
      <c r="G28" s="35"/>
      <c r="H28" s="34"/>
      <c r="I28" s="36"/>
      <c r="J28" s="35"/>
      <c r="K28" s="37"/>
      <c r="L28" s="46"/>
      <c r="M28" s="47"/>
      <c r="N28" s="50"/>
      <c r="O28" s="50"/>
      <c r="P28" s="34"/>
      <c r="Q28" s="48"/>
      <c r="R28" s="33"/>
      <c r="S28" s="33"/>
      <c r="T28" s="49"/>
    </row>
    <row r="29" spans="1:20" ht="14.25" customHeight="1">
      <c r="A29" s="7">
        <f>A25+1</f>
        <v>3</v>
      </c>
      <c r="B29" s="621" t="s">
        <v>109</v>
      </c>
      <c r="C29" s="733" t="s">
        <v>115</v>
      </c>
      <c r="D29" s="43" t="s">
        <v>48</v>
      </c>
      <c r="E29" s="610">
        <v>211</v>
      </c>
      <c r="F29" s="44"/>
      <c r="G29" s="11">
        <v>0.44</v>
      </c>
      <c r="H29" s="44"/>
      <c r="I29" s="10"/>
      <c r="J29" s="11"/>
      <c r="K29" s="12"/>
      <c r="L29" s="13"/>
      <c r="M29" s="14"/>
      <c r="N29" s="15"/>
      <c r="O29" s="15"/>
      <c r="P29" s="16"/>
      <c r="Q29" s="17"/>
      <c r="R29" s="18">
        <f>G30+J30</f>
        <v>0.76417440000000003</v>
      </c>
      <c r="S29" s="735"/>
      <c r="T29" s="612"/>
    </row>
    <row r="30" spans="1:20" ht="15" customHeight="1">
      <c r="A30" s="21"/>
      <c r="B30" s="619"/>
      <c r="C30" s="734"/>
      <c r="E30" s="611"/>
      <c r="G30" s="11">
        <f>G29*$J$13/1000</f>
        <v>0.76417440000000003</v>
      </c>
      <c r="I30" s="22"/>
      <c r="J30" s="11">
        <f>J29*$Q$13/1000</f>
        <v>0</v>
      </c>
      <c r="K30" s="23"/>
      <c r="O30" s="40"/>
      <c r="Q30" s="27"/>
      <c r="R30" s="611"/>
      <c r="S30" s="736"/>
      <c r="T30" s="28"/>
    </row>
    <row r="31" spans="1:20" ht="12.75" customHeight="1">
      <c r="A31" s="29"/>
      <c r="B31" s="30"/>
      <c r="C31" s="31"/>
      <c r="D31" s="32"/>
      <c r="E31" s="33"/>
      <c r="F31" s="34"/>
      <c r="G31" s="35"/>
      <c r="H31" s="34"/>
      <c r="I31" s="36"/>
      <c r="J31" s="35"/>
      <c r="K31" s="37"/>
      <c r="L31" s="46"/>
      <c r="M31" s="47"/>
      <c r="N31" s="50"/>
      <c r="O31" s="50"/>
      <c r="P31" s="34"/>
      <c r="Q31" s="48"/>
      <c r="R31" s="33"/>
      <c r="S31" s="736"/>
      <c r="T31" s="49"/>
    </row>
    <row r="32" spans="1:20" ht="14.25" customHeight="1">
      <c r="A32" s="51">
        <f>A29+1</f>
        <v>4</v>
      </c>
      <c r="B32" s="52" t="s">
        <v>51</v>
      </c>
      <c r="C32" s="734" t="s">
        <v>238</v>
      </c>
      <c r="D32" s="53" t="s">
        <v>31</v>
      </c>
      <c r="E32" s="611">
        <f>50*0.1/100</f>
        <v>0.05</v>
      </c>
      <c r="F32" s="8"/>
      <c r="G32" s="9">
        <v>82.6</v>
      </c>
      <c r="H32" s="8"/>
      <c r="I32" s="22"/>
      <c r="J32" s="42">
        <v>78.400000000000006</v>
      </c>
      <c r="K32" s="23"/>
      <c r="L32" s="46"/>
      <c r="M32" s="47"/>
      <c r="N32" s="50"/>
      <c r="O32" s="50"/>
      <c r="P32" s="34"/>
      <c r="Q32" s="48"/>
      <c r="R32" s="33">
        <f>G33+J33</f>
        <v>350.02548000000002</v>
      </c>
      <c r="S32" s="735"/>
      <c r="T32" s="613"/>
    </row>
    <row r="33" spans="1:20" ht="12" customHeight="1">
      <c r="A33" s="21"/>
      <c r="B33" s="52"/>
      <c r="C33" s="734"/>
      <c r="D33" s="53"/>
      <c r="E33" s="611"/>
      <c r="F33" s="8"/>
      <c r="G33" s="11">
        <f>G32*$J$13/1000</f>
        <v>143.45637599999998</v>
      </c>
      <c r="H33" s="8"/>
      <c r="I33" s="22"/>
      <c r="J33" s="11">
        <f>J32*$Q$13/1000</f>
        <v>206.56910400000001</v>
      </c>
      <c r="K33" s="23"/>
      <c r="L33" s="24"/>
      <c r="M33" s="25"/>
      <c r="N33" s="26"/>
      <c r="O33" s="26"/>
      <c r="P33" s="8"/>
      <c r="Q33" s="27"/>
      <c r="R33" s="611"/>
      <c r="S33" s="736"/>
      <c r="T33" s="28"/>
    </row>
    <row r="34" spans="1:20" ht="12.75" customHeight="1">
      <c r="A34" s="29"/>
      <c r="B34" s="30"/>
      <c r="C34" s="31"/>
      <c r="D34" s="32"/>
      <c r="E34" s="33"/>
      <c r="F34" s="34"/>
      <c r="G34" s="35"/>
      <c r="H34" s="34"/>
      <c r="I34" s="36"/>
      <c r="J34" s="35"/>
      <c r="K34" s="37"/>
      <c r="O34" s="40"/>
      <c r="Q34" s="27"/>
      <c r="R34" s="611"/>
      <c r="S34" s="736"/>
      <c r="T34" s="28"/>
    </row>
    <row r="35" spans="1:20" ht="14.25" customHeight="1">
      <c r="A35" s="7">
        <f>A32+1</f>
        <v>5</v>
      </c>
      <c r="B35" s="621" t="s">
        <v>116</v>
      </c>
      <c r="C35" s="733" t="s">
        <v>239</v>
      </c>
      <c r="D35" s="43" t="s">
        <v>35</v>
      </c>
      <c r="E35" s="610">
        <f>50*0.12</f>
        <v>6</v>
      </c>
      <c r="F35" s="44"/>
      <c r="G35" s="11">
        <v>3.6</v>
      </c>
      <c r="H35" s="44"/>
      <c r="I35" s="10"/>
      <c r="J35" s="11">
        <v>1.7</v>
      </c>
      <c r="K35" s="12"/>
      <c r="L35" s="13"/>
      <c r="M35" s="14"/>
      <c r="N35" s="15"/>
      <c r="O35" s="15"/>
      <c r="P35" s="16"/>
      <c r="Q35" s="17"/>
      <c r="R35" s="18">
        <f>G36+J36</f>
        <v>10.731513</v>
      </c>
      <c r="S35" s="735"/>
      <c r="T35" s="612"/>
    </row>
    <row r="36" spans="1:20" ht="6.75" customHeight="1">
      <c r="A36" s="21"/>
      <c r="B36" s="619"/>
      <c r="C36" s="734"/>
      <c r="E36" s="611"/>
      <c r="G36" s="11">
        <f>G35*$J$13/1000</f>
        <v>6.2523360000000006</v>
      </c>
      <c r="I36" s="22"/>
      <c r="J36" s="11">
        <f>J35*$Q$13/1000</f>
        <v>4.479177</v>
      </c>
      <c r="K36" s="23"/>
      <c r="O36" s="40"/>
      <c r="Q36" s="27"/>
      <c r="R36" s="611"/>
      <c r="S36" s="736"/>
      <c r="T36" s="28"/>
    </row>
    <row r="37" spans="1:20" ht="12.75" customHeight="1">
      <c r="A37" s="29"/>
      <c r="B37" s="30"/>
      <c r="C37" s="31"/>
      <c r="D37" s="32"/>
      <c r="E37" s="33"/>
      <c r="F37" s="34"/>
      <c r="G37" s="35"/>
      <c r="H37" s="34"/>
      <c r="I37" s="36"/>
      <c r="J37" s="35"/>
      <c r="K37" s="37"/>
      <c r="L37" s="46"/>
      <c r="M37" s="47"/>
      <c r="N37" s="50"/>
      <c r="O37" s="50"/>
      <c r="P37" s="34"/>
      <c r="Q37" s="48"/>
      <c r="R37" s="33"/>
      <c r="S37" s="736"/>
      <c r="T37" s="49"/>
    </row>
    <row r="38" spans="1:20" ht="14.25" customHeight="1">
      <c r="A38" s="7">
        <f>A35+1</f>
        <v>6</v>
      </c>
      <c r="B38" s="621" t="s">
        <v>51</v>
      </c>
      <c r="C38" s="733" t="s">
        <v>240</v>
      </c>
      <c r="D38" s="43" t="s">
        <v>31</v>
      </c>
      <c r="E38" s="610">
        <f>96*0.15/100</f>
        <v>0.14399999999999999</v>
      </c>
      <c r="F38" s="44"/>
      <c r="G38" s="11">
        <v>82.6</v>
      </c>
      <c r="H38" s="44"/>
      <c r="I38" s="10"/>
      <c r="J38" s="11">
        <v>78.400000000000006</v>
      </c>
      <c r="K38" s="12"/>
      <c r="L38" s="13"/>
      <c r="M38" s="14"/>
      <c r="N38" s="15"/>
      <c r="O38" s="15"/>
      <c r="P38" s="16"/>
      <c r="Q38" s="17"/>
      <c r="R38" s="18">
        <f>G39+J39</f>
        <v>350.02548000000002</v>
      </c>
      <c r="S38" s="735"/>
      <c r="T38" s="612"/>
    </row>
    <row r="39" spans="1:20" ht="9.75" customHeight="1">
      <c r="A39" s="21"/>
      <c r="B39" s="619"/>
      <c r="C39" s="734"/>
      <c r="E39" s="611"/>
      <c r="G39" s="11">
        <f>G38*$J$13/1000</f>
        <v>143.45637599999998</v>
      </c>
      <c r="I39" s="22"/>
      <c r="J39" s="11">
        <f>J38*$Q$13/1000</f>
        <v>206.56910400000001</v>
      </c>
      <c r="K39" s="23"/>
      <c r="O39" s="40"/>
      <c r="Q39" s="27"/>
      <c r="R39" s="611"/>
      <c r="S39" s="736"/>
      <c r="T39" s="28"/>
    </row>
    <row r="40" spans="1:20" ht="12.75" customHeight="1">
      <c r="A40" s="29"/>
      <c r="B40" s="30"/>
      <c r="C40" s="31"/>
      <c r="D40" s="32"/>
      <c r="E40" s="33"/>
      <c r="F40" s="34"/>
      <c r="G40" s="35"/>
      <c r="H40" s="34"/>
      <c r="I40" s="36"/>
      <c r="J40" s="35"/>
      <c r="K40" s="37"/>
      <c r="L40" s="46"/>
      <c r="M40" s="47"/>
      <c r="N40" s="50"/>
      <c r="O40" s="50"/>
      <c r="P40" s="34"/>
      <c r="Q40" s="48"/>
      <c r="R40" s="33"/>
      <c r="S40" s="736"/>
      <c r="T40" s="49"/>
    </row>
    <row r="41" spans="1:20" s="187" customFormat="1" ht="12.75" customHeight="1">
      <c r="A41" s="174">
        <f>A38+1</f>
        <v>7</v>
      </c>
      <c r="B41" s="175" t="s">
        <v>79</v>
      </c>
      <c r="C41" s="764" t="s">
        <v>78</v>
      </c>
      <c r="D41" s="176" t="s">
        <v>33</v>
      </c>
      <c r="E41" s="617">
        <f>E21+E25+E29*0.15*0.3*2.2+E32*100*2+E38*100+E35*2</f>
        <v>58.788999999999994</v>
      </c>
      <c r="F41" s="177"/>
      <c r="G41" s="178">
        <v>0.15</v>
      </c>
      <c r="H41" s="177"/>
      <c r="I41" s="179"/>
      <c r="J41" s="178">
        <v>0.5</v>
      </c>
      <c r="K41" s="180"/>
      <c r="L41" s="181"/>
      <c r="M41" s="182"/>
      <c r="N41" s="183"/>
      <c r="O41" s="183"/>
      <c r="P41" s="184"/>
      <c r="Q41" s="185"/>
      <c r="R41" s="186">
        <f>G42+J42</f>
        <v>1.5779190000000001</v>
      </c>
      <c r="S41" s="735"/>
      <c r="T41" s="622"/>
    </row>
    <row r="42" spans="1:20" s="187" customFormat="1" ht="12.75" customHeight="1">
      <c r="A42" s="188"/>
      <c r="B42" s="189"/>
      <c r="C42" s="765"/>
      <c r="D42" s="190"/>
      <c r="E42" s="618"/>
      <c r="F42" s="5"/>
      <c r="G42" s="178">
        <f>G41*$J$13/1000</f>
        <v>0.26051400000000002</v>
      </c>
      <c r="H42" s="5"/>
      <c r="I42" s="191"/>
      <c r="J42" s="178">
        <f>J41*$Q$13/1000</f>
        <v>1.3174049999999999</v>
      </c>
      <c r="K42" s="192"/>
      <c r="L42" s="1"/>
      <c r="M42" s="2"/>
      <c r="N42" s="3"/>
      <c r="O42" s="3"/>
      <c r="P42" s="5"/>
      <c r="Q42" s="193"/>
      <c r="R42" s="618"/>
      <c r="S42" s="736"/>
      <c r="T42" s="194"/>
    </row>
    <row r="43" spans="1:20" s="187" customFormat="1" ht="12.75" hidden="1" customHeight="1">
      <c r="A43" s="188"/>
      <c r="B43" s="189"/>
      <c r="C43" s="765"/>
      <c r="D43" s="190"/>
      <c r="E43" s="618"/>
      <c r="F43" s="5"/>
      <c r="G43" s="6"/>
      <c r="H43" s="5"/>
      <c r="I43" s="191"/>
      <c r="J43" s="6"/>
      <c r="K43" s="192"/>
      <c r="L43" s="1"/>
      <c r="M43" s="2"/>
      <c r="N43" s="3"/>
      <c r="O43" s="3"/>
      <c r="P43" s="5"/>
      <c r="Q43" s="193"/>
      <c r="R43" s="618"/>
      <c r="S43" s="736"/>
      <c r="T43" s="194"/>
    </row>
    <row r="44" spans="1:20" s="187" customFormat="1" ht="12.75" customHeight="1">
      <c r="A44" s="195"/>
      <c r="B44" s="196"/>
      <c r="C44" s="197"/>
      <c r="D44" s="198"/>
      <c r="E44" s="199"/>
      <c r="F44" s="200"/>
      <c r="G44" s="201"/>
      <c r="H44" s="200"/>
      <c r="I44" s="202"/>
      <c r="J44" s="201"/>
      <c r="K44" s="203"/>
      <c r="L44" s="204"/>
      <c r="M44" s="205"/>
      <c r="N44" s="206"/>
      <c r="O44" s="206"/>
      <c r="P44" s="200"/>
      <c r="Q44" s="207"/>
      <c r="R44" s="199"/>
      <c r="S44" s="199"/>
      <c r="T44" s="208"/>
    </row>
    <row r="45" spans="1:20" s="187" customFormat="1" ht="28.5" customHeight="1">
      <c r="A45" s="188"/>
      <c r="B45" s="653" t="s">
        <v>253</v>
      </c>
      <c r="C45" s="614" t="s">
        <v>253</v>
      </c>
      <c r="D45" s="190"/>
      <c r="E45" s="618"/>
      <c r="F45" s="5"/>
      <c r="G45" s="6"/>
      <c r="H45" s="5"/>
      <c r="I45" s="191"/>
      <c r="J45" s="6"/>
      <c r="K45" s="192"/>
      <c r="L45" s="1"/>
      <c r="M45" s="2"/>
      <c r="N45" s="3"/>
      <c r="O45" s="3"/>
      <c r="P45" s="5"/>
      <c r="Q45" s="207"/>
      <c r="R45" s="199"/>
      <c r="S45" s="618"/>
      <c r="T45" s="657">
        <v>0.59850000000000003</v>
      </c>
    </row>
    <row r="46" spans="1:20" ht="12.75" customHeight="1">
      <c r="A46" s="7">
        <f>1</f>
        <v>1</v>
      </c>
      <c r="B46" s="762" t="s">
        <v>53</v>
      </c>
      <c r="C46" s="733" t="s">
        <v>82</v>
      </c>
      <c r="D46" s="43" t="s">
        <v>24</v>
      </c>
      <c r="E46" s="610">
        <f>326/100</f>
        <v>3.26</v>
      </c>
      <c r="F46" s="44"/>
      <c r="G46" s="11">
        <v>59.2</v>
      </c>
      <c r="H46" s="44"/>
      <c r="I46" s="10"/>
      <c r="J46" s="11">
        <v>0.71</v>
      </c>
      <c r="K46" s="12"/>
      <c r="L46" s="54"/>
      <c r="M46" s="55"/>
      <c r="N46" s="56"/>
      <c r="O46" s="57"/>
      <c r="P46" s="44"/>
      <c r="Q46" s="17"/>
      <c r="R46" s="18">
        <f>G47+J47</f>
        <v>104.68690710000001</v>
      </c>
      <c r="S46" s="735"/>
      <c r="T46" s="737"/>
    </row>
    <row r="47" spans="1:20" ht="12" customHeight="1">
      <c r="A47" s="21"/>
      <c r="B47" s="763"/>
      <c r="C47" s="734"/>
      <c r="E47" s="611"/>
      <c r="G47" s="11">
        <f>G46*$J$13/1000</f>
        <v>102.81619200000002</v>
      </c>
      <c r="I47" s="22"/>
      <c r="J47" s="11">
        <f>J46*$Q$13/1000</f>
        <v>1.8707151</v>
      </c>
      <c r="K47" s="23"/>
      <c r="L47" s="615" t="s">
        <v>107</v>
      </c>
      <c r="M47" s="58" t="s">
        <v>26</v>
      </c>
      <c r="N47" s="59">
        <v>100</v>
      </c>
      <c r="O47" s="59">
        <f>E46*N47</f>
        <v>326</v>
      </c>
      <c r="P47" s="60">
        <v>5.6669999999999998</v>
      </c>
      <c r="Q47" s="173">
        <f>N47*P47*$N$11</f>
        <v>646.81137549000005</v>
      </c>
      <c r="R47" s="735">
        <f>SUM(Q47:Q49)</f>
        <v>830.32033436541008</v>
      </c>
      <c r="S47" s="736"/>
      <c r="T47" s="738"/>
    </row>
    <row r="48" spans="1:20" ht="12.75" hidden="1" customHeight="1">
      <c r="A48" s="21"/>
      <c r="B48" s="619"/>
      <c r="C48" s="734"/>
      <c r="E48" s="611"/>
      <c r="I48" s="22"/>
      <c r="K48" s="23"/>
      <c r="L48" s="61" t="s">
        <v>54</v>
      </c>
      <c r="M48" s="62" t="s">
        <v>35</v>
      </c>
      <c r="N48" s="63">
        <v>5.9</v>
      </c>
      <c r="O48" s="63">
        <f>E46*N48</f>
        <v>19.233999999999998</v>
      </c>
      <c r="P48" s="64">
        <v>27.016999999999999</v>
      </c>
      <c r="Q48" s="209">
        <f>N48*P48*$N$11</f>
        <v>181.93387558941006</v>
      </c>
      <c r="R48" s="736"/>
      <c r="S48" s="736"/>
      <c r="T48" s="738"/>
    </row>
    <row r="49" spans="1:20" ht="12.75" hidden="1" customHeight="1">
      <c r="A49" s="21"/>
      <c r="C49" s="734"/>
      <c r="E49" s="611"/>
      <c r="I49" s="22"/>
      <c r="K49" s="23"/>
      <c r="L49" s="66" t="s">
        <v>43</v>
      </c>
      <c r="M49" s="67" t="s">
        <v>35</v>
      </c>
      <c r="N49" s="68">
        <v>0.06</v>
      </c>
      <c r="O49" s="68">
        <f>E46*N49</f>
        <v>0.19559999999999997</v>
      </c>
      <c r="P49" s="69">
        <v>23</v>
      </c>
      <c r="Q49" s="209">
        <f>N49*P49*$N$11</f>
        <v>1.5750832860000001</v>
      </c>
      <c r="R49" s="736"/>
      <c r="S49" s="736"/>
      <c r="T49" s="738"/>
    </row>
    <row r="50" spans="1:20" ht="12.75" customHeight="1">
      <c r="A50" s="29"/>
      <c r="B50" s="30"/>
      <c r="C50" s="31"/>
      <c r="D50" s="32"/>
      <c r="E50" s="33"/>
      <c r="F50" s="34"/>
      <c r="G50" s="35"/>
      <c r="H50" s="34"/>
      <c r="I50" s="36"/>
      <c r="J50" s="35"/>
      <c r="K50" s="37"/>
      <c r="L50" s="46"/>
      <c r="M50" s="47"/>
      <c r="N50" s="70"/>
      <c r="O50" s="71"/>
      <c r="P50" s="34"/>
      <c r="Q50" s="48"/>
      <c r="R50" s="33"/>
      <c r="S50" s="33"/>
      <c r="T50" s="49"/>
    </row>
    <row r="51" spans="1:20" ht="12.75" customHeight="1">
      <c r="A51" s="7">
        <f>A46+1</f>
        <v>2</v>
      </c>
      <c r="B51" s="762" t="s">
        <v>81</v>
      </c>
      <c r="C51" s="733" t="s">
        <v>117</v>
      </c>
      <c r="D51" s="43" t="s">
        <v>24</v>
      </c>
      <c r="E51" s="610">
        <f>270/100</f>
        <v>2.7</v>
      </c>
      <c r="F51" s="44"/>
      <c r="G51" s="11">
        <v>40.1</v>
      </c>
      <c r="H51" s="44"/>
      <c r="I51" s="10"/>
      <c r="J51" s="11">
        <v>0.71</v>
      </c>
      <c r="K51" s="12"/>
      <c r="L51" s="54"/>
      <c r="M51" s="55"/>
      <c r="N51" s="56"/>
      <c r="O51" s="57"/>
      <c r="P51" s="44"/>
      <c r="Q51" s="17"/>
      <c r="R51" s="18">
        <f>G52+J52</f>
        <v>71.514791099999997</v>
      </c>
      <c r="S51" s="735"/>
      <c r="T51" s="737"/>
    </row>
    <row r="52" spans="1:20" ht="12.75" customHeight="1">
      <c r="A52" s="21"/>
      <c r="B52" s="763"/>
      <c r="C52" s="734"/>
      <c r="E52" s="611"/>
      <c r="G52" s="11">
        <f>G51*$J$13/1000</f>
        <v>69.644075999999998</v>
      </c>
      <c r="I52" s="22"/>
      <c r="J52" s="11">
        <f>J51*$Q$13/1000</f>
        <v>1.8707151</v>
      </c>
      <c r="K52" s="23"/>
      <c r="L52" s="615" t="s">
        <v>118</v>
      </c>
      <c r="M52" s="58" t="s">
        <v>26</v>
      </c>
      <c r="N52" s="59">
        <v>100</v>
      </c>
      <c r="O52" s="59">
        <f>E51*N52</f>
        <v>270</v>
      </c>
      <c r="P52" s="60">
        <v>1.67</v>
      </c>
      <c r="Q52" s="173">
        <f>N52*P52*$N$11</f>
        <v>190.60790490000005</v>
      </c>
      <c r="R52" s="735">
        <f>SUM(Q52:Q54)</f>
        <v>374.11686377541014</v>
      </c>
      <c r="S52" s="736"/>
      <c r="T52" s="738"/>
    </row>
    <row r="53" spans="1:20" ht="12.75" hidden="1" customHeight="1">
      <c r="A53" s="21"/>
      <c r="B53" s="619"/>
      <c r="C53" s="734"/>
      <c r="E53" s="611"/>
      <c r="I53" s="22"/>
      <c r="K53" s="23"/>
      <c r="L53" s="61" t="s">
        <v>54</v>
      </c>
      <c r="M53" s="62" t="s">
        <v>35</v>
      </c>
      <c r="N53" s="63">
        <v>5.9</v>
      </c>
      <c r="O53" s="63">
        <f>E51*N53</f>
        <v>15.930000000000001</v>
      </c>
      <c r="P53" s="64">
        <v>27.016999999999999</v>
      </c>
      <c r="Q53" s="209">
        <f>N53*P53*$N$11</f>
        <v>181.93387558941006</v>
      </c>
      <c r="R53" s="736"/>
      <c r="S53" s="736"/>
      <c r="T53" s="738"/>
    </row>
    <row r="54" spans="1:20" ht="12.75" hidden="1" customHeight="1">
      <c r="A54" s="21"/>
      <c r="C54" s="734"/>
      <c r="E54" s="611"/>
      <c r="I54" s="22"/>
      <c r="K54" s="23"/>
      <c r="L54" s="66" t="s">
        <v>43</v>
      </c>
      <c r="M54" s="67" t="s">
        <v>35</v>
      </c>
      <c r="N54" s="68">
        <v>0.06</v>
      </c>
      <c r="O54" s="68">
        <f>E51*N54</f>
        <v>0.16200000000000001</v>
      </c>
      <c r="P54" s="69">
        <v>23</v>
      </c>
      <c r="Q54" s="209">
        <f>N54*P54*$N$11</f>
        <v>1.5750832860000001</v>
      </c>
      <c r="R54" s="736"/>
      <c r="S54" s="736"/>
      <c r="T54" s="738"/>
    </row>
    <row r="55" spans="1:20" ht="12.75" customHeight="1">
      <c r="A55" s="29"/>
      <c r="B55" s="30"/>
      <c r="C55" s="31"/>
      <c r="D55" s="32"/>
      <c r="E55" s="33"/>
      <c r="F55" s="34"/>
      <c r="G55" s="35"/>
      <c r="H55" s="34"/>
      <c r="I55" s="36"/>
      <c r="J55" s="35"/>
      <c r="K55" s="37"/>
      <c r="L55" s="46"/>
      <c r="M55" s="47"/>
      <c r="N55" s="70"/>
      <c r="O55" s="71"/>
      <c r="P55" s="34"/>
      <c r="Q55" s="48"/>
      <c r="R55" s="33"/>
      <c r="S55" s="33"/>
      <c r="T55" s="49"/>
    </row>
    <row r="56" spans="1:20" ht="12.75" customHeight="1">
      <c r="A56" s="7">
        <f>A51+1</f>
        <v>3</v>
      </c>
      <c r="B56" s="621" t="s">
        <v>34</v>
      </c>
      <c r="C56" s="733" t="s">
        <v>249</v>
      </c>
      <c r="D56" s="43" t="s">
        <v>35</v>
      </c>
      <c r="E56" s="610">
        <v>32</v>
      </c>
      <c r="F56" s="44"/>
      <c r="G56" s="11">
        <v>1.82</v>
      </c>
      <c r="H56" s="44"/>
      <c r="I56" s="10"/>
      <c r="J56" s="11">
        <v>1.06</v>
      </c>
      <c r="K56" s="12"/>
      <c r="L56" s="210"/>
      <c r="M56" s="14"/>
      <c r="N56" s="211"/>
      <c r="O56" s="212"/>
      <c r="P56" s="16"/>
      <c r="Q56" s="17"/>
      <c r="R56" s="18">
        <f>G57+J57</f>
        <v>5.9538018000000008</v>
      </c>
      <c r="S56" s="735"/>
      <c r="T56" s="737"/>
    </row>
    <row r="57" spans="1:20" ht="12.75" customHeight="1">
      <c r="A57" s="21"/>
      <c r="B57" s="619" t="s">
        <v>44</v>
      </c>
      <c r="C57" s="734"/>
      <c r="E57" s="611"/>
      <c r="G57" s="11">
        <f>G56*$J$13/1000</f>
        <v>3.1609032000000004</v>
      </c>
      <c r="I57" s="22"/>
      <c r="J57" s="11">
        <f>J56*$Q$13/1000</f>
        <v>2.7928986</v>
      </c>
      <c r="K57" s="23"/>
      <c r="L57" s="620" t="s">
        <v>55</v>
      </c>
      <c r="M57" s="213" t="s">
        <v>35</v>
      </c>
      <c r="N57" s="214">
        <f>0.97+0.27</f>
        <v>1.24</v>
      </c>
      <c r="O57" s="214">
        <f>E56*N57</f>
        <v>39.68</v>
      </c>
      <c r="P57" s="215">
        <v>4.1669999999999998</v>
      </c>
      <c r="Q57" s="216">
        <f>N57*P57*$N$11</f>
        <v>5.8975227140760005</v>
      </c>
      <c r="R57" s="611">
        <f>SUM(Q57:Q57)</f>
        <v>5.8975227140760005</v>
      </c>
      <c r="S57" s="736"/>
      <c r="T57" s="738"/>
    </row>
    <row r="58" spans="1:20" ht="12.75" customHeight="1">
      <c r="A58" s="29"/>
      <c r="B58" s="30"/>
      <c r="C58" s="31"/>
      <c r="D58" s="32"/>
      <c r="E58" s="33"/>
      <c r="F58" s="34"/>
      <c r="G58" s="35"/>
      <c r="H58" s="34"/>
      <c r="I58" s="36"/>
      <c r="J58" s="35"/>
      <c r="K58" s="37"/>
      <c r="L58" s="46"/>
      <c r="M58" s="47"/>
      <c r="N58" s="70"/>
      <c r="O58" s="71"/>
      <c r="P58" s="34"/>
      <c r="Q58" s="48"/>
      <c r="R58" s="33"/>
      <c r="S58" s="33"/>
      <c r="T58" s="49"/>
    </row>
    <row r="59" spans="1:20" ht="12.75" customHeight="1">
      <c r="A59" s="7">
        <f>A56+1</f>
        <v>4</v>
      </c>
      <c r="B59" s="621" t="s">
        <v>50</v>
      </c>
      <c r="C59" s="733" t="s">
        <v>241</v>
      </c>
      <c r="D59" s="43" t="s">
        <v>35</v>
      </c>
      <c r="E59" s="610">
        <v>16</v>
      </c>
      <c r="F59" s="44"/>
      <c r="G59" s="11"/>
      <c r="H59" s="44"/>
      <c r="I59" s="10"/>
      <c r="J59" s="11"/>
      <c r="K59" s="12"/>
      <c r="L59" s="210"/>
      <c r="M59" s="14"/>
      <c r="N59" s="211"/>
      <c r="O59" s="212"/>
      <c r="P59" s="16"/>
      <c r="Q59" s="17"/>
      <c r="R59" s="18">
        <f>G60+J60</f>
        <v>0</v>
      </c>
      <c r="S59" s="735"/>
      <c r="T59" s="737"/>
    </row>
    <row r="60" spans="1:20" ht="12.75" customHeight="1">
      <c r="A60" s="21"/>
      <c r="B60" s="619"/>
      <c r="C60" s="734"/>
      <c r="E60" s="611"/>
      <c r="G60" s="11"/>
      <c r="I60" s="22"/>
      <c r="J60" s="11"/>
      <c r="K60" s="23"/>
      <c r="L60" s="620" t="s">
        <v>83</v>
      </c>
      <c r="M60" s="217" t="s">
        <v>35</v>
      </c>
      <c r="N60" s="214">
        <v>1.01</v>
      </c>
      <c r="O60" s="214">
        <f>E59*N60</f>
        <v>16.16</v>
      </c>
      <c r="P60" s="215">
        <v>23</v>
      </c>
      <c r="Q60" s="216">
        <f>N60*P60*$N$11</f>
        <v>26.513901981000007</v>
      </c>
      <c r="R60" s="611">
        <f>SUM(Q60:Q60)</f>
        <v>26.513901981000007</v>
      </c>
      <c r="S60" s="736"/>
      <c r="T60" s="738"/>
    </row>
    <row r="61" spans="1:20" ht="12.75" customHeight="1">
      <c r="A61" s="29"/>
      <c r="B61" s="30"/>
      <c r="C61" s="31"/>
      <c r="D61" s="32"/>
      <c r="E61" s="33"/>
      <c r="F61" s="34"/>
      <c r="G61" s="35"/>
      <c r="H61" s="34"/>
      <c r="I61" s="36"/>
      <c r="J61" s="35"/>
      <c r="K61" s="37"/>
      <c r="L61" s="46"/>
      <c r="M61" s="47"/>
      <c r="N61" s="70"/>
      <c r="O61" s="71"/>
      <c r="P61" s="34"/>
      <c r="Q61" s="48"/>
      <c r="R61" s="33"/>
      <c r="S61" s="33"/>
      <c r="T61" s="49"/>
    </row>
    <row r="62" spans="1:20" ht="12.75" customHeight="1">
      <c r="A62" s="7">
        <f>A59+1</f>
        <v>5</v>
      </c>
      <c r="B62" s="621" t="s">
        <v>84</v>
      </c>
      <c r="C62" s="733" t="s">
        <v>242</v>
      </c>
      <c r="D62" s="43" t="s">
        <v>40</v>
      </c>
      <c r="E62" s="610">
        <v>320</v>
      </c>
      <c r="F62" s="44"/>
      <c r="G62" s="11">
        <f>43/100</f>
        <v>0.43</v>
      </c>
      <c r="H62" s="44"/>
      <c r="I62" s="10"/>
      <c r="J62" s="11">
        <f>10.4/100</f>
        <v>0.10400000000000001</v>
      </c>
      <c r="K62" s="12"/>
      <c r="L62" s="210"/>
      <c r="M62" s="14"/>
      <c r="N62" s="211"/>
      <c r="O62" s="212"/>
      <c r="P62" s="16"/>
      <c r="Q62" s="17"/>
      <c r="R62" s="18">
        <f>G63+J63</f>
        <v>1.0208270399999999</v>
      </c>
      <c r="S62" s="735"/>
      <c r="T62" s="737"/>
    </row>
    <row r="63" spans="1:20" ht="12.75" customHeight="1">
      <c r="A63" s="21"/>
      <c r="B63" s="619" t="s">
        <v>44</v>
      </c>
      <c r="C63" s="734"/>
      <c r="E63" s="611"/>
      <c r="G63" s="11">
        <f>G62*$J$13/1000</f>
        <v>0.74680679999999999</v>
      </c>
      <c r="I63" s="22"/>
      <c r="J63" s="11">
        <f>J62*$Q$13/1000</f>
        <v>0.27402024000000003</v>
      </c>
      <c r="K63" s="23"/>
      <c r="L63" s="620" t="s">
        <v>85</v>
      </c>
      <c r="M63" s="213" t="s">
        <v>40</v>
      </c>
      <c r="N63" s="214">
        <f>0.97+0.27</f>
        <v>1.24</v>
      </c>
      <c r="O63" s="214">
        <f>E62*N63</f>
        <v>396.8</v>
      </c>
      <c r="P63" s="215">
        <v>3.6669999999999998</v>
      </c>
      <c r="Q63" s="216">
        <f>N63*P63*$N$11</f>
        <v>5.1898766000760004</v>
      </c>
      <c r="R63" s="611">
        <f>SUM(Q63:Q63)</f>
        <v>5.1898766000760004</v>
      </c>
      <c r="S63" s="736"/>
      <c r="T63" s="738"/>
    </row>
    <row r="64" spans="1:20" ht="12.75" customHeight="1">
      <c r="A64" s="29"/>
      <c r="B64" s="30"/>
      <c r="C64" s="31"/>
      <c r="D64" s="32"/>
      <c r="E64" s="33"/>
      <c r="F64" s="34"/>
      <c r="G64" s="35"/>
      <c r="H64" s="34"/>
      <c r="I64" s="36"/>
      <c r="J64" s="35"/>
      <c r="K64" s="37"/>
      <c r="L64" s="46"/>
      <c r="M64" s="47"/>
      <c r="N64" s="70"/>
      <c r="O64" s="71"/>
      <c r="P64" s="34"/>
      <c r="Q64" s="48"/>
      <c r="R64" s="33"/>
      <c r="S64" s="33"/>
      <c r="T64" s="49"/>
    </row>
    <row r="65" spans="1:20" ht="12.75" customHeight="1">
      <c r="A65" s="7">
        <f>A78+1</f>
        <v>8</v>
      </c>
      <c r="B65" s="621" t="s">
        <v>110</v>
      </c>
      <c r="C65" s="733" t="s">
        <v>243</v>
      </c>
      <c r="D65" s="43" t="s">
        <v>35</v>
      </c>
      <c r="E65" s="610">
        <v>5</v>
      </c>
      <c r="F65" s="44"/>
      <c r="G65" s="11">
        <v>0.11</v>
      </c>
      <c r="H65" s="44"/>
      <c r="I65" s="10"/>
      <c r="J65" s="11">
        <v>0.76</v>
      </c>
      <c r="K65" s="12"/>
      <c r="L65" s="210"/>
      <c r="M65" s="14"/>
      <c r="N65" s="211"/>
      <c r="O65" s="212"/>
      <c r="P65" s="16"/>
      <c r="Q65" s="17"/>
      <c r="R65" s="18">
        <f>G66+J66</f>
        <v>2.1934992000000002</v>
      </c>
      <c r="S65" s="735"/>
      <c r="T65" s="737"/>
    </row>
    <row r="66" spans="1:20" ht="16.5" customHeight="1">
      <c r="A66" s="21"/>
      <c r="B66" s="619"/>
      <c r="C66" s="734"/>
      <c r="E66" s="611"/>
      <c r="G66" s="11">
        <f>G65*$J$13/1000</f>
        <v>0.19104360000000001</v>
      </c>
      <c r="I66" s="22"/>
      <c r="J66" s="11">
        <f>J65*$Q$13/1000</f>
        <v>2.0024556000000002</v>
      </c>
      <c r="K66" s="23"/>
      <c r="L66" s="620" t="s">
        <v>55</v>
      </c>
      <c r="M66" s="217" t="s">
        <v>35</v>
      </c>
      <c r="N66" s="214">
        <v>1.26</v>
      </c>
      <c r="O66" s="214">
        <f>E65*N66</f>
        <v>6.3</v>
      </c>
      <c r="P66" s="215">
        <v>4.1669999999999998</v>
      </c>
      <c r="Q66" s="216">
        <f>N66*P66*$N$11</f>
        <v>5.9926440481740011</v>
      </c>
      <c r="R66" s="611">
        <f>SUM(Q66:Q66)</f>
        <v>5.9926440481740011</v>
      </c>
      <c r="S66" s="736"/>
      <c r="T66" s="738"/>
    </row>
    <row r="67" spans="1:20" ht="12.75" customHeight="1">
      <c r="A67" s="29"/>
      <c r="B67" s="30"/>
      <c r="C67" s="31"/>
      <c r="D67" s="32"/>
      <c r="E67" s="33"/>
      <c r="F67" s="34"/>
      <c r="G67" s="35"/>
      <c r="H67" s="34"/>
      <c r="I67" s="36"/>
      <c r="J67" s="35"/>
      <c r="K67" s="37"/>
      <c r="L67" s="46"/>
      <c r="M67" s="47"/>
      <c r="N67" s="70"/>
      <c r="O67" s="71"/>
      <c r="P67" s="34"/>
      <c r="Q67" s="48"/>
      <c r="R67" s="33"/>
      <c r="S67" s="33"/>
      <c r="T67" s="49"/>
    </row>
    <row r="68" spans="1:20" ht="12.75" customHeight="1">
      <c r="A68" s="7">
        <f>A65+1</f>
        <v>9</v>
      </c>
      <c r="B68" s="762" t="s">
        <v>56</v>
      </c>
      <c r="C68" s="733" t="s">
        <v>244</v>
      </c>
      <c r="D68" s="43" t="s">
        <v>45</v>
      </c>
      <c r="E68" s="165">
        <f>100.5/100</f>
        <v>1.0049999999999999</v>
      </c>
      <c r="F68" s="44"/>
      <c r="G68" s="11">
        <f>2.08+0.03/10*2</f>
        <v>2.0859999999999999</v>
      </c>
      <c r="H68" s="44"/>
      <c r="I68" s="10"/>
      <c r="J68" s="11">
        <v>4.74</v>
      </c>
      <c r="K68" s="12"/>
      <c r="L68" s="54"/>
      <c r="M68" s="55"/>
      <c r="N68" s="218"/>
      <c r="O68" s="219"/>
      <c r="P68" s="44"/>
      <c r="Q68" s="166"/>
      <c r="R68" s="18">
        <f>G69+J69</f>
        <v>16.111880760000002</v>
      </c>
      <c r="S68" s="735"/>
      <c r="T68" s="737"/>
    </row>
    <row r="69" spans="1:20" ht="12.75" customHeight="1">
      <c r="A69" s="21"/>
      <c r="B69" s="763"/>
      <c r="C69" s="734"/>
      <c r="E69" s="611"/>
      <c r="G69" s="11">
        <f>G68*$J$13/1000</f>
        <v>3.6228813600000001</v>
      </c>
      <c r="I69" s="22"/>
      <c r="J69" s="11">
        <f>J68*$Q$13/1000</f>
        <v>12.488999400000001</v>
      </c>
      <c r="K69" s="23"/>
      <c r="L69" s="766" t="s">
        <v>47</v>
      </c>
      <c r="M69" s="58" t="s">
        <v>33</v>
      </c>
      <c r="N69" s="59">
        <f>9.77+12.1/10*2</f>
        <v>12.19</v>
      </c>
      <c r="O69" s="59">
        <f>E68*N69</f>
        <v>12.250949999999998</v>
      </c>
      <c r="P69" s="60">
        <v>24</v>
      </c>
      <c r="Q69" s="169">
        <f>N69*P69*$N$11</f>
        <v>333.91765663200005</v>
      </c>
      <c r="R69" s="611">
        <f>SUM(Q69:Q69)</f>
        <v>333.91765663200005</v>
      </c>
      <c r="S69" s="736"/>
      <c r="T69" s="738"/>
    </row>
    <row r="70" spans="1:20" ht="12" hidden="1" customHeight="1">
      <c r="A70" s="21"/>
      <c r="B70" s="763"/>
      <c r="C70" s="734"/>
      <c r="E70" s="611"/>
      <c r="I70" s="22"/>
      <c r="K70" s="23"/>
      <c r="L70" s="767"/>
      <c r="M70" s="213"/>
      <c r="N70" s="220"/>
      <c r="O70" s="214"/>
      <c r="P70" s="221"/>
      <c r="Q70" s="216"/>
      <c r="R70" s="611"/>
      <c r="S70" s="611"/>
      <c r="T70" s="28"/>
    </row>
    <row r="71" spans="1:20" ht="12.75" hidden="1" customHeight="1">
      <c r="A71" s="21"/>
      <c r="B71" s="763"/>
      <c r="C71" s="734"/>
      <c r="E71" s="611"/>
      <c r="I71" s="22"/>
      <c r="K71" s="23"/>
      <c r="N71" s="222"/>
      <c r="O71" s="223"/>
      <c r="Q71" s="27"/>
      <c r="R71" s="611"/>
      <c r="S71" s="611"/>
      <c r="T71" s="28"/>
    </row>
    <row r="72" spans="1:20" ht="12.75" hidden="1" customHeight="1">
      <c r="A72" s="21"/>
      <c r="B72" s="763" t="s">
        <v>46</v>
      </c>
      <c r="C72" s="734"/>
      <c r="E72" s="611"/>
      <c r="I72" s="22"/>
      <c r="K72" s="23"/>
      <c r="N72" s="222"/>
      <c r="O72" s="223"/>
      <c r="Q72" s="27"/>
      <c r="R72" s="611"/>
      <c r="S72" s="611"/>
      <c r="T72" s="28"/>
    </row>
    <row r="73" spans="1:20" ht="6" hidden="1" customHeight="1">
      <c r="A73" s="21"/>
      <c r="B73" s="763"/>
      <c r="C73" s="734"/>
      <c r="E73" s="611"/>
      <c r="I73" s="22"/>
      <c r="K73" s="23"/>
      <c r="N73" s="222"/>
      <c r="O73" s="223"/>
      <c r="Q73" s="27"/>
      <c r="R73" s="611"/>
      <c r="S73" s="611"/>
      <c r="T73" s="28"/>
    </row>
    <row r="74" spans="1:20" ht="12.75" customHeight="1">
      <c r="A74" s="29"/>
      <c r="B74" s="30"/>
      <c r="C74" s="31"/>
      <c r="D74" s="32"/>
      <c r="E74" s="33"/>
      <c r="F74" s="34"/>
      <c r="G74" s="35"/>
      <c r="H74" s="34"/>
      <c r="I74" s="36"/>
      <c r="J74" s="35"/>
      <c r="K74" s="37"/>
      <c r="L74" s="46"/>
      <c r="M74" s="47"/>
      <c r="N74" s="70"/>
      <c r="O74" s="71"/>
      <c r="P74" s="34"/>
      <c r="Q74" s="48"/>
      <c r="R74" s="33"/>
      <c r="S74" s="33"/>
      <c r="T74" s="49"/>
    </row>
    <row r="75" spans="1:20" ht="12.75" customHeight="1">
      <c r="A75" s="7">
        <f>A62+1</f>
        <v>6</v>
      </c>
      <c r="B75" s="621" t="s">
        <v>34</v>
      </c>
      <c r="C75" s="733" t="s">
        <v>245</v>
      </c>
      <c r="D75" s="43" t="s">
        <v>35</v>
      </c>
      <c r="E75" s="610">
        <v>2.5</v>
      </c>
      <c r="F75" s="44"/>
      <c r="G75" s="11">
        <v>1.82</v>
      </c>
      <c r="H75" s="44"/>
      <c r="I75" s="10"/>
      <c r="J75" s="11">
        <v>1.06</v>
      </c>
      <c r="K75" s="12"/>
      <c r="L75" s="210"/>
      <c r="M75" s="14"/>
      <c r="N75" s="211"/>
      <c r="O75" s="212"/>
      <c r="P75" s="16"/>
      <c r="Q75" s="17"/>
      <c r="R75" s="18">
        <f>G76+J76</f>
        <v>5.9538018000000008</v>
      </c>
      <c r="S75" s="735"/>
      <c r="T75" s="737"/>
    </row>
    <row r="76" spans="1:20" ht="16.5" customHeight="1">
      <c r="A76" s="21"/>
      <c r="B76" s="619" t="s">
        <v>44</v>
      </c>
      <c r="C76" s="734"/>
      <c r="E76" s="611"/>
      <c r="G76" s="11">
        <f>G75*$J$13/1000</f>
        <v>3.1609032000000004</v>
      </c>
      <c r="I76" s="22"/>
      <c r="J76" s="11">
        <f>J75*$Q$13/1000</f>
        <v>2.7928986</v>
      </c>
      <c r="K76" s="23"/>
      <c r="L76" s="620" t="s">
        <v>55</v>
      </c>
      <c r="M76" s="213" t="s">
        <v>35</v>
      </c>
      <c r="N76" s="214">
        <f>0.97+0.27</f>
        <v>1.24</v>
      </c>
      <c r="O76" s="214">
        <f>E75*N76</f>
        <v>3.1</v>
      </c>
      <c r="P76" s="215">
        <v>4.1669999999999998</v>
      </c>
      <c r="Q76" s="216">
        <f>N76*P76*$N$11</f>
        <v>5.8975227140760005</v>
      </c>
      <c r="R76" s="611">
        <f>SUM(Q76:Q76)</f>
        <v>5.8975227140760005</v>
      </c>
      <c r="S76" s="736"/>
      <c r="T76" s="738"/>
    </row>
    <row r="77" spans="1:20" ht="12.75" customHeight="1">
      <c r="A77" s="29"/>
      <c r="B77" s="30"/>
      <c r="C77" s="31"/>
      <c r="D77" s="32"/>
      <c r="E77" s="33"/>
      <c r="F77" s="34"/>
      <c r="G77" s="35"/>
      <c r="H77" s="34"/>
      <c r="I77" s="36"/>
      <c r="J77" s="35"/>
      <c r="K77" s="37"/>
      <c r="L77" s="46"/>
      <c r="M77" s="47"/>
      <c r="N77" s="70"/>
      <c r="O77" s="71"/>
      <c r="P77" s="34"/>
      <c r="Q77" s="48"/>
      <c r="R77" s="33"/>
      <c r="S77" s="33"/>
      <c r="T77" s="49"/>
    </row>
    <row r="78" spans="1:20" ht="12.75" customHeight="1">
      <c r="A78" s="7">
        <f>A75+1</f>
        <v>7</v>
      </c>
      <c r="B78" s="762" t="s">
        <v>56</v>
      </c>
      <c r="C78" s="733" t="s">
        <v>246</v>
      </c>
      <c r="D78" s="43" t="s">
        <v>45</v>
      </c>
      <c r="E78" s="610">
        <f>50/100</f>
        <v>0.5</v>
      </c>
      <c r="F78" s="44"/>
      <c r="G78" s="11">
        <f>2.08+0.03/10*2</f>
        <v>2.0859999999999999</v>
      </c>
      <c r="H78" s="44"/>
      <c r="I78" s="10"/>
      <c r="J78" s="11">
        <v>4.74</v>
      </c>
      <c r="K78" s="12"/>
      <c r="L78" s="54"/>
      <c r="M78" s="55"/>
      <c r="N78" s="218"/>
      <c r="O78" s="219"/>
      <c r="P78" s="44"/>
      <c r="Q78" s="166"/>
      <c r="R78" s="18">
        <f>G79+J79</f>
        <v>16.111880760000002</v>
      </c>
      <c r="S78" s="735"/>
      <c r="T78" s="737"/>
    </row>
    <row r="79" spans="1:20" ht="11.25" customHeight="1">
      <c r="A79" s="21"/>
      <c r="B79" s="763"/>
      <c r="C79" s="734"/>
      <c r="E79" s="611"/>
      <c r="G79" s="11">
        <f>G78*$J$13/1000</f>
        <v>3.6228813600000001</v>
      </c>
      <c r="I79" s="22"/>
      <c r="J79" s="11">
        <f>J78*$Q$13/1000</f>
        <v>12.488999400000001</v>
      </c>
      <c r="K79" s="23"/>
      <c r="L79" s="766" t="s">
        <v>47</v>
      </c>
      <c r="M79" s="58" t="s">
        <v>33</v>
      </c>
      <c r="N79" s="59">
        <f>9.77+12.1/10*2</f>
        <v>12.19</v>
      </c>
      <c r="O79" s="59">
        <f>E78*N79</f>
        <v>6.0949999999999998</v>
      </c>
      <c r="P79" s="60">
        <v>24</v>
      </c>
      <c r="Q79" s="169">
        <f>N79*P79*$N$11</f>
        <v>333.91765663200005</v>
      </c>
      <c r="R79" s="611">
        <f>SUM(Q79:Q79)</f>
        <v>333.91765663200005</v>
      </c>
      <c r="S79" s="736"/>
      <c r="T79" s="738"/>
    </row>
    <row r="80" spans="1:20" ht="2.25" hidden="1" customHeight="1">
      <c r="A80" s="21"/>
      <c r="B80" s="763"/>
      <c r="C80" s="734"/>
      <c r="E80" s="611"/>
      <c r="I80" s="22"/>
      <c r="K80" s="23"/>
      <c r="L80" s="767"/>
      <c r="M80" s="213"/>
      <c r="N80" s="220"/>
      <c r="O80" s="214"/>
      <c r="P80" s="221"/>
      <c r="Q80" s="216"/>
      <c r="R80" s="611"/>
      <c r="S80" s="611"/>
      <c r="T80" s="28"/>
    </row>
    <row r="81" spans="1:23" ht="12.75" hidden="1" customHeight="1">
      <c r="A81" s="21"/>
      <c r="B81" s="763"/>
      <c r="C81" s="734"/>
      <c r="E81" s="611"/>
      <c r="I81" s="22"/>
      <c r="K81" s="23"/>
      <c r="N81" s="222"/>
      <c r="O81" s="223"/>
      <c r="Q81" s="27"/>
      <c r="R81" s="611"/>
      <c r="S81" s="611"/>
      <c r="T81" s="28"/>
    </row>
    <row r="82" spans="1:23" ht="12.75" hidden="1" customHeight="1">
      <c r="A82" s="21"/>
      <c r="B82" s="763" t="s">
        <v>46</v>
      </c>
      <c r="C82" s="734"/>
      <c r="E82" s="611"/>
      <c r="I82" s="22"/>
      <c r="K82" s="23"/>
      <c r="N82" s="222"/>
      <c r="O82" s="223"/>
      <c r="Q82" s="27"/>
      <c r="R82" s="611"/>
      <c r="S82" s="611"/>
      <c r="T82" s="28"/>
    </row>
    <row r="83" spans="1:23" ht="12.75" hidden="1" customHeight="1">
      <c r="A83" s="21"/>
      <c r="B83" s="763"/>
      <c r="C83" s="734"/>
      <c r="E83" s="611"/>
      <c r="I83" s="22"/>
      <c r="K83" s="23"/>
      <c r="N83" s="222"/>
      <c r="O83" s="223"/>
      <c r="Q83" s="27"/>
      <c r="R83" s="611"/>
      <c r="S83" s="611"/>
      <c r="T83" s="28"/>
    </row>
    <row r="84" spans="1:23" ht="12.75" customHeight="1">
      <c r="A84" s="29"/>
      <c r="B84" s="30"/>
      <c r="C84" s="31"/>
      <c r="D84" s="32"/>
      <c r="E84" s="33"/>
      <c r="F84" s="34"/>
      <c r="G84" s="35"/>
      <c r="H84" s="34"/>
      <c r="I84" s="36"/>
      <c r="J84" s="35"/>
      <c r="K84" s="37"/>
      <c r="L84" s="46"/>
      <c r="M84" s="47"/>
      <c r="N84" s="70"/>
      <c r="O84" s="71"/>
      <c r="P84" s="34"/>
      <c r="Q84" s="48"/>
      <c r="R84" s="33"/>
      <c r="S84" s="33"/>
      <c r="T84" s="49"/>
    </row>
    <row r="85" spans="1:23" ht="12.75" customHeight="1">
      <c r="A85" s="7">
        <f>A78+1</f>
        <v>8</v>
      </c>
      <c r="B85" s="621" t="s">
        <v>87</v>
      </c>
      <c r="C85" s="733" t="s">
        <v>86</v>
      </c>
      <c r="D85" s="43" t="s">
        <v>45</v>
      </c>
      <c r="E85" s="610">
        <f>820/100</f>
        <v>8.1999999999999993</v>
      </c>
      <c r="F85" s="44"/>
      <c r="G85" s="11">
        <f>11.4-2.26</f>
        <v>9.14</v>
      </c>
      <c r="H85" s="44"/>
      <c r="I85" s="10"/>
      <c r="J85" s="11">
        <v>0.2</v>
      </c>
      <c r="K85" s="12"/>
      <c r="L85" s="13"/>
      <c r="M85" s="14"/>
      <c r="N85" s="15"/>
      <c r="O85" s="15"/>
      <c r="P85" s="16"/>
      <c r="Q85" s="17"/>
      <c r="R85" s="18">
        <f>G86+J86</f>
        <v>16.400948400000001</v>
      </c>
      <c r="S85" s="735"/>
      <c r="T85" s="612"/>
    </row>
    <row r="86" spans="1:23" ht="12" customHeight="1">
      <c r="A86" s="21"/>
      <c r="B86" s="619" t="s">
        <v>89</v>
      </c>
      <c r="C86" s="734"/>
      <c r="E86" s="611"/>
      <c r="G86" s="11">
        <f>G85*$J$13/1000</f>
        <v>15.873986400000001</v>
      </c>
      <c r="I86" s="22"/>
      <c r="J86" s="11">
        <f>J85*$Q$13/1000</f>
        <v>0.52696200000000004</v>
      </c>
      <c r="K86" s="23"/>
      <c r="L86" s="766" t="s">
        <v>88</v>
      </c>
      <c r="M86" s="58" t="s">
        <v>35</v>
      </c>
      <c r="N86" s="59">
        <v>10</v>
      </c>
      <c r="O86" s="59">
        <f>E85*N86</f>
        <v>82</v>
      </c>
      <c r="P86" s="60">
        <v>1.8</v>
      </c>
      <c r="Q86" s="169">
        <f>N86*P86*$N$11</f>
        <v>20.544564600000005</v>
      </c>
      <c r="R86" s="611">
        <f>SUM(Q86:Q86)</f>
        <v>20.544564600000005</v>
      </c>
      <c r="S86" s="736"/>
      <c r="T86" s="28"/>
    </row>
    <row r="87" spans="1:23" ht="7.5" customHeight="1">
      <c r="A87" s="29"/>
      <c r="B87" s="30"/>
      <c r="C87" s="31"/>
      <c r="D87" s="32"/>
      <c r="E87" s="33"/>
      <c r="F87" s="34"/>
      <c r="G87" s="35"/>
      <c r="H87" s="34"/>
      <c r="I87" s="36"/>
      <c r="J87" s="35"/>
      <c r="K87" s="37"/>
      <c r="L87" s="768"/>
      <c r="M87" s="224"/>
      <c r="N87" s="225"/>
      <c r="O87" s="226"/>
      <c r="P87" s="227"/>
      <c r="Q87" s="228"/>
      <c r="R87" s="33"/>
      <c r="S87" s="33"/>
      <c r="T87" s="49"/>
    </row>
    <row r="88" spans="1:23" ht="12.75" customHeight="1">
      <c r="A88" s="7">
        <f>A85+1</f>
        <v>9</v>
      </c>
      <c r="B88" s="621" t="s">
        <v>91</v>
      </c>
      <c r="C88" s="733" t="s">
        <v>90</v>
      </c>
      <c r="D88" s="43" t="s">
        <v>45</v>
      </c>
      <c r="E88" s="610">
        <f>820/100</f>
        <v>8.1999999999999993</v>
      </c>
      <c r="F88" s="44"/>
      <c r="G88" s="11">
        <v>2.42</v>
      </c>
      <c r="H88" s="44"/>
      <c r="I88" s="10"/>
      <c r="J88" s="11"/>
      <c r="K88" s="12"/>
      <c r="L88" s="13"/>
      <c r="M88" s="14"/>
      <c r="N88" s="15"/>
      <c r="O88" s="15"/>
      <c r="P88" s="16"/>
      <c r="Q88" s="17"/>
      <c r="R88" s="18">
        <f>G89+J89</f>
        <v>4.2029592000000005</v>
      </c>
      <c r="S88" s="735"/>
      <c r="T88" s="612"/>
    </row>
    <row r="89" spans="1:23" ht="10.5" customHeight="1">
      <c r="A89" s="21"/>
      <c r="B89" s="619"/>
      <c r="C89" s="734"/>
      <c r="E89" s="611"/>
      <c r="G89" s="11">
        <f>G88*$J$13/1000</f>
        <v>4.2029592000000005</v>
      </c>
      <c r="I89" s="22"/>
      <c r="J89" s="11">
        <f>J88*$Q$13/1000</f>
        <v>0</v>
      </c>
      <c r="K89" s="23"/>
      <c r="L89" s="766" t="s">
        <v>92</v>
      </c>
      <c r="M89" s="229" t="s">
        <v>42</v>
      </c>
      <c r="N89" s="59">
        <v>5</v>
      </c>
      <c r="O89" s="59">
        <f>E88*N89</f>
        <v>41</v>
      </c>
      <c r="P89" s="60">
        <v>3</v>
      </c>
      <c r="Q89" s="169">
        <f>N89*P89*$N$11</f>
        <v>17.120470500000003</v>
      </c>
      <c r="R89" s="611">
        <f>SUM(Q89:Q89)</f>
        <v>17.120470500000003</v>
      </c>
      <c r="S89" s="736"/>
      <c r="T89" s="28"/>
    </row>
    <row r="90" spans="1:23" ht="10.5" customHeight="1">
      <c r="A90" s="29"/>
      <c r="B90" s="30"/>
      <c r="C90" s="769"/>
      <c r="D90" s="32"/>
      <c r="E90" s="33"/>
      <c r="F90" s="34"/>
      <c r="G90" s="35"/>
      <c r="H90" s="34"/>
      <c r="I90" s="36"/>
      <c r="J90" s="35"/>
      <c r="K90" s="37"/>
      <c r="L90" s="768"/>
      <c r="M90" s="230"/>
      <c r="N90" s="225"/>
      <c r="O90" s="226"/>
      <c r="P90" s="227"/>
      <c r="Q90" s="228"/>
      <c r="R90" s="33"/>
      <c r="S90" s="33"/>
      <c r="T90" s="49"/>
    </row>
    <row r="91" spans="1:23" ht="12.75" customHeight="1">
      <c r="A91" s="7">
        <f>A68+1</f>
        <v>10</v>
      </c>
      <c r="B91" s="621" t="s">
        <v>120</v>
      </c>
      <c r="C91" s="733" t="s">
        <v>250</v>
      </c>
      <c r="D91" s="43" t="s">
        <v>27</v>
      </c>
      <c r="E91" s="610">
        <v>52</v>
      </c>
      <c r="F91" s="44"/>
      <c r="G91" s="11">
        <f>2.4/10+1.27/10</f>
        <v>0.36699999999999999</v>
      </c>
      <c r="H91" s="44"/>
      <c r="I91" s="10"/>
      <c r="J91" s="11"/>
      <c r="K91" s="12"/>
      <c r="L91" s="210"/>
      <c r="M91" s="14"/>
      <c r="N91" s="211"/>
      <c r="O91" s="212"/>
      <c r="P91" s="16"/>
      <c r="Q91" s="17"/>
      <c r="R91" s="18">
        <f>G92+J92</f>
        <v>0.63739091999999997</v>
      </c>
      <c r="S91" s="735"/>
      <c r="T91" s="737"/>
    </row>
    <row r="92" spans="1:23" ht="13.5" customHeight="1">
      <c r="A92" s="21"/>
      <c r="B92" s="619" t="s">
        <v>121</v>
      </c>
      <c r="C92" s="734"/>
      <c r="E92" s="611"/>
      <c r="G92" s="11">
        <f>G91*$J$13/1000</f>
        <v>0.63739091999999997</v>
      </c>
      <c r="I92" s="22"/>
      <c r="J92" s="11">
        <f>J91*$Q$13/1000</f>
        <v>0</v>
      </c>
      <c r="K92" s="23"/>
      <c r="L92" s="620" t="s">
        <v>119</v>
      </c>
      <c r="M92" s="217" t="s">
        <v>27</v>
      </c>
      <c r="N92" s="214">
        <v>1</v>
      </c>
      <c r="O92" s="214">
        <f>E91*N92</f>
        <v>52</v>
      </c>
      <c r="P92" s="215">
        <v>3.7</v>
      </c>
      <c r="Q92" s="216">
        <f>N92*P92*$N$11</f>
        <v>4.2230493900000008</v>
      </c>
      <c r="R92" s="611">
        <f>SUM(Q92:Q92)</f>
        <v>4.2230493900000008</v>
      </c>
      <c r="S92" s="736"/>
      <c r="T92" s="738"/>
    </row>
    <row r="93" spans="1:23" ht="9.75" customHeight="1">
      <c r="A93" s="29"/>
      <c r="B93" s="30"/>
      <c r="C93" s="31"/>
      <c r="D93" s="32"/>
      <c r="E93" s="33"/>
      <c r="F93" s="34"/>
      <c r="G93" s="35"/>
      <c r="H93" s="34"/>
      <c r="I93" s="36"/>
      <c r="J93" s="35"/>
      <c r="K93" s="37"/>
      <c r="L93" s="46"/>
      <c r="M93" s="47"/>
      <c r="N93" s="70"/>
      <c r="O93" s="71"/>
      <c r="P93" s="34"/>
      <c r="Q93" s="48"/>
      <c r="R93" s="33"/>
      <c r="S93" s="33"/>
      <c r="T93" s="49"/>
    </row>
    <row r="94" spans="1:23" s="187" customFormat="1" ht="17.25" customHeight="1">
      <c r="A94" s="231"/>
      <c r="B94" s="232"/>
      <c r="C94" s="608" t="s">
        <v>122</v>
      </c>
      <c r="D94" s="233"/>
      <c r="E94" s="186"/>
      <c r="F94" s="184"/>
      <c r="G94" s="234"/>
      <c r="H94" s="184"/>
      <c r="I94" s="235"/>
      <c r="J94" s="234"/>
      <c r="K94" s="236"/>
      <c r="L94" s="181"/>
      <c r="M94" s="182"/>
      <c r="N94" s="183"/>
      <c r="O94" s="237"/>
      <c r="P94" s="184"/>
      <c r="Q94" s="185"/>
      <c r="R94" s="186"/>
      <c r="S94" s="186"/>
      <c r="T94" s="658">
        <v>8.7900000000000006E-2</v>
      </c>
      <c r="U94" s="238"/>
      <c r="V94" s="238"/>
      <c r="W94" s="238"/>
    </row>
    <row r="95" spans="1:23" s="86" customFormat="1" ht="12.75" customHeight="1">
      <c r="A95" s="51">
        <f>1</f>
        <v>1</v>
      </c>
      <c r="B95" s="126" t="s">
        <v>59</v>
      </c>
      <c r="C95" s="770" t="s">
        <v>93</v>
      </c>
      <c r="D95" s="73" t="s">
        <v>31</v>
      </c>
      <c r="E95" s="74">
        <f>0.02/2*194/100</f>
        <v>1.9400000000000001E-2</v>
      </c>
      <c r="F95" s="75"/>
      <c r="G95" s="76">
        <v>368</v>
      </c>
      <c r="H95" s="75"/>
      <c r="I95" s="77"/>
      <c r="J95" s="78">
        <v>0</v>
      </c>
      <c r="K95" s="79"/>
      <c r="L95" s="113"/>
      <c r="M95" s="239"/>
      <c r="N95" s="240"/>
      <c r="O95" s="240"/>
      <c r="P95" s="99"/>
      <c r="Q95" s="115"/>
      <c r="R95" s="98">
        <f>G96+J96</f>
        <v>639.12768000000005</v>
      </c>
      <c r="S95" s="735"/>
      <c r="T95" s="628"/>
      <c r="U95" s="87"/>
      <c r="V95" s="87"/>
      <c r="W95" s="87"/>
    </row>
    <row r="96" spans="1:23" s="86" customFormat="1" ht="11.25" customHeight="1">
      <c r="A96" s="88"/>
      <c r="B96" s="126" t="s">
        <v>60</v>
      </c>
      <c r="C96" s="770"/>
      <c r="D96" s="73"/>
      <c r="E96" s="626"/>
      <c r="F96" s="75"/>
      <c r="G96" s="11">
        <f>G95*$J$13/1000</f>
        <v>639.12768000000005</v>
      </c>
      <c r="H96" s="75"/>
      <c r="I96" s="77"/>
      <c r="J96" s="89">
        <f>J95*$Q$7/1000</f>
        <v>0</v>
      </c>
      <c r="K96" s="79"/>
      <c r="L96" s="90"/>
      <c r="M96" s="91"/>
      <c r="N96" s="241"/>
      <c r="O96" s="241"/>
      <c r="P96" s="75"/>
      <c r="Q96" s="92"/>
      <c r="R96" s="626"/>
      <c r="S96" s="736"/>
      <c r="T96" s="93"/>
      <c r="U96" s="87"/>
      <c r="V96" s="87"/>
      <c r="W96" s="87"/>
    </row>
    <row r="97" spans="1:23" s="86" customFormat="1" ht="12.75" hidden="1" customHeight="1">
      <c r="A97" s="88"/>
      <c r="C97" s="770"/>
      <c r="D97" s="73"/>
      <c r="E97" s="626"/>
      <c r="F97" s="75"/>
      <c r="G97" s="76"/>
      <c r="H97" s="75"/>
      <c r="I97" s="77"/>
      <c r="J97" s="78"/>
      <c r="K97" s="79"/>
      <c r="L97" s="90"/>
      <c r="M97" s="91"/>
      <c r="N97" s="241"/>
      <c r="O97" s="241"/>
      <c r="P97" s="75"/>
      <c r="Q97" s="92"/>
      <c r="R97" s="626"/>
      <c r="S97" s="626"/>
      <c r="T97" s="93"/>
      <c r="U97" s="87"/>
      <c r="V97" s="87"/>
      <c r="W97" s="87"/>
    </row>
    <row r="98" spans="1:23" s="86" customFormat="1" ht="11.25" customHeight="1">
      <c r="A98" s="94"/>
      <c r="B98" s="95"/>
      <c r="C98" s="96"/>
      <c r="D98" s="97"/>
      <c r="E98" s="98"/>
      <c r="F98" s="99"/>
      <c r="G98" s="100"/>
      <c r="H98" s="99"/>
      <c r="I98" s="101"/>
      <c r="J98" s="100"/>
      <c r="K98" s="102"/>
      <c r="L98" s="103"/>
      <c r="M98" s="104"/>
      <c r="N98" s="242"/>
      <c r="O98" s="242"/>
      <c r="P98" s="106"/>
      <c r="Q98" s="92"/>
      <c r="R98" s="626"/>
      <c r="S98" s="626"/>
      <c r="T98" s="93"/>
      <c r="U98" s="87"/>
      <c r="V98" s="87"/>
      <c r="W98" s="87"/>
    </row>
    <row r="99" spans="1:23" s="187" customFormat="1" ht="12.75" customHeight="1">
      <c r="A99" s="243">
        <f>A95+1</f>
        <v>2</v>
      </c>
      <c r="B99" s="244" t="s">
        <v>32</v>
      </c>
      <c r="C99" s="764" t="s">
        <v>67</v>
      </c>
      <c r="D99" s="245" t="s">
        <v>33</v>
      </c>
      <c r="E99" s="618">
        <f>0.02/2*194*1.6</f>
        <v>3.1040000000000001</v>
      </c>
      <c r="F99" s="246"/>
      <c r="G99" s="178">
        <v>0.15</v>
      </c>
      <c r="H99" s="246"/>
      <c r="I99" s="191"/>
      <c r="J99" s="6">
        <v>0.6</v>
      </c>
      <c r="K99" s="192"/>
      <c r="L99" s="181"/>
      <c r="M99" s="182"/>
      <c r="N99" s="183"/>
      <c r="O99" s="183"/>
      <c r="P99" s="184"/>
      <c r="Q99" s="185"/>
      <c r="R99" s="186">
        <f>G100+J100</f>
        <v>1.8414000000000001</v>
      </c>
      <c r="S99" s="735"/>
      <c r="T99" s="622"/>
      <c r="U99" s="238"/>
      <c r="V99" s="238"/>
      <c r="W99" s="238"/>
    </row>
    <row r="100" spans="1:23" s="187" customFormat="1" ht="11.25" customHeight="1">
      <c r="A100" s="188"/>
      <c r="C100" s="765"/>
      <c r="D100" s="245"/>
      <c r="E100" s="618"/>
      <c r="F100" s="246"/>
      <c r="G100" s="11">
        <f>G99*$J$13/1000</f>
        <v>0.26051400000000002</v>
      </c>
      <c r="H100" s="41"/>
      <c r="I100" s="22"/>
      <c r="J100" s="11">
        <f>J99*$Q$13/1000</f>
        <v>1.580886</v>
      </c>
      <c r="K100" s="192"/>
      <c r="L100" s="247"/>
      <c r="M100" s="248"/>
      <c r="N100" s="249"/>
      <c r="O100" s="249"/>
      <c r="P100" s="246"/>
      <c r="Q100" s="193"/>
      <c r="R100" s="618"/>
      <c r="S100" s="736"/>
      <c r="T100" s="194"/>
      <c r="U100" s="238"/>
      <c r="V100" s="238"/>
      <c r="W100" s="238"/>
    </row>
    <row r="101" spans="1:23" s="187" customFormat="1" ht="12.75" hidden="1" customHeight="1">
      <c r="A101" s="188"/>
      <c r="C101" s="765"/>
      <c r="D101" s="245"/>
      <c r="E101" s="618"/>
      <c r="F101" s="246"/>
      <c r="G101" s="250"/>
      <c r="H101" s="246"/>
      <c r="I101" s="191"/>
      <c r="J101" s="6"/>
      <c r="K101" s="192"/>
      <c r="L101" s="247"/>
      <c r="M101" s="248"/>
      <c r="N101" s="249"/>
      <c r="O101" s="249"/>
      <c r="P101" s="246"/>
      <c r="Q101" s="193"/>
      <c r="R101" s="618"/>
      <c r="S101" s="618"/>
      <c r="T101" s="194"/>
      <c r="U101" s="238"/>
      <c r="V101" s="238"/>
      <c r="W101" s="238"/>
    </row>
    <row r="102" spans="1:23" s="187" customFormat="1" ht="12.75" customHeight="1">
      <c r="A102" s="188"/>
      <c r="B102" s="189"/>
      <c r="C102" s="251"/>
      <c r="D102" s="190"/>
      <c r="E102" s="618"/>
      <c r="F102" s="5"/>
      <c r="G102" s="6"/>
      <c r="H102" s="5"/>
      <c r="I102" s="191"/>
      <c r="J102" s="6"/>
      <c r="K102" s="192"/>
      <c r="L102" s="1"/>
      <c r="M102" s="2"/>
      <c r="N102" s="3"/>
      <c r="O102" s="3"/>
      <c r="P102" s="5"/>
      <c r="Q102" s="193"/>
      <c r="R102" s="618"/>
      <c r="S102" s="618"/>
      <c r="T102" s="194"/>
      <c r="U102" s="238"/>
      <c r="V102" s="238"/>
      <c r="W102" s="238"/>
    </row>
    <row r="103" spans="1:23" s="187" customFormat="1" ht="12.75" customHeight="1">
      <c r="A103" s="174">
        <f>A99+1</f>
        <v>3</v>
      </c>
      <c r="B103" s="175" t="s">
        <v>34</v>
      </c>
      <c r="C103" s="764" t="s">
        <v>94</v>
      </c>
      <c r="D103" s="176" t="s">
        <v>35</v>
      </c>
      <c r="E103" s="617">
        <f>0.004/2*196</f>
        <v>0.39200000000000002</v>
      </c>
      <c r="F103" s="177"/>
      <c r="G103" s="178">
        <v>1.82</v>
      </c>
      <c r="H103" s="177"/>
      <c r="I103" s="179"/>
      <c r="J103" s="178">
        <v>1.06</v>
      </c>
      <c r="K103" s="180"/>
      <c r="L103" s="252"/>
      <c r="M103" s="253"/>
      <c r="N103" s="254"/>
      <c r="O103" s="254"/>
      <c r="P103" s="177"/>
      <c r="Q103" s="255"/>
      <c r="R103" s="186">
        <f>G104+J104</f>
        <v>5.9538018000000008</v>
      </c>
      <c r="S103" s="772"/>
      <c r="T103" s="774"/>
      <c r="U103" s="238"/>
      <c r="V103" s="238"/>
      <c r="W103" s="238"/>
    </row>
    <row r="104" spans="1:23" s="187" customFormat="1" ht="12" customHeight="1">
      <c r="A104" s="188"/>
      <c r="B104" s="256" t="s">
        <v>36</v>
      </c>
      <c r="C104" s="771"/>
      <c r="D104" s="190"/>
      <c r="E104" s="618"/>
      <c r="F104" s="5"/>
      <c r="G104" s="11">
        <f>G103*$J$13/1000</f>
        <v>3.1609032000000004</v>
      </c>
      <c r="H104" s="41"/>
      <c r="I104" s="22"/>
      <c r="J104" s="11">
        <f>J103*$Q$13/1000</f>
        <v>2.7928986</v>
      </c>
      <c r="K104" s="192"/>
      <c r="L104" s="630" t="s">
        <v>37</v>
      </c>
      <c r="M104" s="257" t="s">
        <v>35</v>
      </c>
      <c r="N104" s="258">
        <v>0.97</v>
      </c>
      <c r="O104" s="259">
        <f>E103*N104</f>
        <v>0.38024000000000002</v>
      </c>
      <c r="P104" s="260">
        <v>4.1669999999999998</v>
      </c>
      <c r="Q104" s="169">
        <f>N104*P104*$N$11</f>
        <v>4.6133847037529998</v>
      </c>
      <c r="R104" s="772">
        <f>SUM(Q104:Q105)</f>
        <v>5.9486786799300004</v>
      </c>
      <c r="S104" s="773"/>
      <c r="T104" s="775"/>
      <c r="U104" s="238"/>
      <c r="V104" s="238"/>
      <c r="W104" s="238"/>
    </row>
    <row r="105" spans="1:23" s="187" customFormat="1" ht="12.75" hidden="1" customHeight="1">
      <c r="A105" s="188"/>
      <c r="B105" s="189"/>
      <c r="C105" s="771"/>
      <c r="D105" s="190"/>
      <c r="E105" s="618"/>
      <c r="F105" s="5"/>
      <c r="G105" s="6"/>
      <c r="H105" s="5"/>
      <c r="I105" s="191"/>
      <c r="J105" s="6"/>
      <c r="K105" s="192"/>
      <c r="L105" s="261" t="s">
        <v>38</v>
      </c>
      <c r="M105" s="262" t="s">
        <v>35</v>
      </c>
      <c r="N105" s="263">
        <v>0.27</v>
      </c>
      <c r="O105" s="264">
        <f>E103*N105</f>
        <v>0.10584000000000002</v>
      </c>
      <c r="P105" s="265">
        <v>4.3330000000000002</v>
      </c>
      <c r="Q105" s="209">
        <f>N105*P105*$N$11</f>
        <v>1.3352939761770006</v>
      </c>
      <c r="R105" s="776"/>
      <c r="S105" s="773"/>
      <c r="T105" s="775"/>
      <c r="U105" s="238"/>
      <c r="V105" s="238"/>
      <c r="W105" s="238"/>
    </row>
    <row r="106" spans="1:23" s="187" customFormat="1" ht="12.75" customHeight="1">
      <c r="A106" s="195"/>
      <c r="B106" s="196"/>
      <c r="C106" s="197"/>
      <c r="D106" s="198"/>
      <c r="E106" s="199"/>
      <c r="F106" s="200"/>
      <c r="G106" s="201"/>
      <c r="H106" s="200"/>
      <c r="I106" s="202"/>
      <c r="J106" s="201"/>
      <c r="K106" s="203"/>
      <c r="L106" s="204"/>
      <c r="M106" s="205"/>
      <c r="N106" s="206"/>
      <c r="O106" s="206"/>
      <c r="P106" s="200"/>
      <c r="Q106" s="207"/>
      <c r="R106" s="199"/>
      <c r="S106" s="199"/>
      <c r="T106" s="208"/>
      <c r="U106" s="238"/>
      <c r="V106" s="238"/>
      <c r="W106" s="238"/>
    </row>
    <row r="107" spans="1:23" ht="12.75" customHeight="1">
      <c r="A107" s="51">
        <f>A103+1</f>
        <v>4</v>
      </c>
      <c r="B107" s="621" t="s">
        <v>61</v>
      </c>
      <c r="C107" s="733" t="s">
        <v>95</v>
      </c>
      <c r="D107" s="43" t="s">
        <v>35</v>
      </c>
      <c r="E107" s="610">
        <f>0.016/2*194</f>
        <v>1.552</v>
      </c>
      <c r="F107" s="44"/>
      <c r="G107" s="11">
        <v>1.84</v>
      </c>
      <c r="H107" s="44"/>
      <c r="I107" s="10"/>
      <c r="J107" s="11">
        <v>0.2</v>
      </c>
      <c r="K107" s="12"/>
      <c r="L107" s="54"/>
      <c r="M107" s="55"/>
      <c r="N107" s="56"/>
      <c r="O107" s="56"/>
      <c r="P107" s="44"/>
      <c r="Q107" s="166"/>
      <c r="R107" s="18">
        <f>G108+J108</f>
        <v>3.7226004000000006</v>
      </c>
      <c r="S107" s="735"/>
      <c r="T107" s="737"/>
    </row>
    <row r="108" spans="1:23" ht="12" customHeight="1">
      <c r="A108" s="21"/>
      <c r="B108" s="619" t="s">
        <v>62</v>
      </c>
      <c r="C108" s="734"/>
      <c r="E108" s="611"/>
      <c r="G108" s="11">
        <f>G107*$J$13/1000</f>
        <v>3.1956384000000004</v>
      </c>
      <c r="I108" s="22"/>
      <c r="J108" s="11">
        <f>J107*$Q$13/1000</f>
        <v>0.52696200000000004</v>
      </c>
      <c r="K108" s="23"/>
      <c r="L108" s="615"/>
      <c r="M108" s="58"/>
      <c r="N108" s="167"/>
      <c r="O108" s="168"/>
      <c r="P108" s="60"/>
      <c r="Q108" s="169"/>
      <c r="R108" s="735">
        <f>SUM(Q108:Q111)</f>
        <v>36.172991117929683</v>
      </c>
      <c r="S108" s="736"/>
      <c r="T108" s="738"/>
    </row>
    <row r="109" spans="1:23" ht="12.75" hidden="1" customHeight="1">
      <c r="A109" s="21"/>
      <c r="C109" s="734"/>
      <c r="E109" s="611"/>
      <c r="I109" s="22"/>
      <c r="K109" s="23"/>
      <c r="L109" s="61" t="s">
        <v>96</v>
      </c>
      <c r="M109" s="62" t="s">
        <v>35</v>
      </c>
      <c r="N109" s="266">
        <v>1.0149999999999999</v>
      </c>
      <c r="O109" s="267">
        <f>E107*N109</f>
        <v>1.5752799999999998</v>
      </c>
      <c r="P109" s="64">
        <v>25.35</v>
      </c>
      <c r="Q109" s="209">
        <f>N109*P109*$N$11</f>
        <v>29.367599072175004</v>
      </c>
      <c r="R109" s="736"/>
      <c r="S109" s="736"/>
      <c r="T109" s="738"/>
    </row>
    <row r="110" spans="1:23" ht="12.75" hidden="1" customHeight="1">
      <c r="A110" s="21"/>
      <c r="C110" s="734"/>
      <c r="E110" s="611"/>
      <c r="I110" s="22"/>
      <c r="K110" s="23"/>
      <c r="L110" s="61" t="s">
        <v>39</v>
      </c>
      <c r="M110" s="62" t="s">
        <v>40</v>
      </c>
      <c r="N110" s="266">
        <v>1.24</v>
      </c>
      <c r="O110" s="267">
        <f>E107*N110</f>
        <v>1.92448</v>
      </c>
      <c r="P110" s="64">
        <v>3.5</v>
      </c>
      <c r="Q110" s="209">
        <f>N110*P110*$N$11</f>
        <v>4.9535227980000007</v>
      </c>
      <c r="R110" s="736"/>
      <c r="S110" s="736"/>
      <c r="T110" s="738"/>
    </row>
    <row r="111" spans="1:23" ht="12.75" hidden="1" customHeight="1">
      <c r="A111" s="21"/>
      <c r="C111" s="734"/>
      <c r="E111" s="611"/>
      <c r="I111" s="22"/>
      <c r="K111" s="23"/>
      <c r="L111" s="66" t="s">
        <v>41</v>
      </c>
      <c r="M111" s="67" t="s">
        <v>35</v>
      </c>
      <c r="N111" s="268">
        <v>1.32E-2</v>
      </c>
      <c r="O111" s="269">
        <f>E107*N111</f>
        <v>2.0486400000000002E-2</v>
      </c>
      <c r="P111" s="270">
        <v>122.917</v>
      </c>
      <c r="Q111" s="271">
        <f>N111*P111*$N$11</f>
        <v>1.8518692477546803</v>
      </c>
      <c r="R111" s="736"/>
      <c r="S111" s="736"/>
      <c r="T111" s="738"/>
    </row>
    <row r="112" spans="1:23" ht="12.75" customHeight="1">
      <c r="A112" s="29"/>
      <c r="B112" s="30"/>
      <c r="C112" s="31"/>
      <c r="D112" s="32"/>
      <c r="E112" s="33"/>
      <c r="F112" s="34"/>
      <c r="G112" s="35"/>
      <c r="H112" s="34"/>
      <c r="I112" s="36"/>
      <c r="J112" s="35"/>
      <c r="K112" s="37"/>
      <c r="L112" s="46"/>
      <c r="M112" s="47"/>
      <c r="N112" s="50"/>
      <c r="O112" s="50"/>
      <c r="P112" s="34"/>
      <c r="Q112" s="48"/>
      <c r="R112" s="33"/>
      <c r="S112" s="33"/>
      <c r="T112" s="49"/>
    </row>
    <row r="113" spans="1:20" ht="12.75" customHeight="1">
      <c r="A113" s="7">
        <f>A107+1</f>
        <v>5</v>
      </c>
      <c r="B113" s="621" t="s">
        <v>69</v>
      </c>
      <c r="C113" s="733" t="s">
        <v>68</v>
      </c>
      <c r="D113" s="43" t="s">
        <v>33</v>
      </c>
      <c r="E113" s="165">
        <f>(3.81+4.74+11+2.35)/2*194/1000</f>
        <v>2.1243000000000003</v>
      </c>
      <c r="F113" s="44"/>
      <c r="G113" s="11">
        <v>50.1</v>
      </c>
      <c r="H113" s="44"/>
      <c r="I113" s="10"/>
      <c r="J113" s="11">
        <v>3.2</v>
      </c>
      <c r="K113" s="12"/>
      <c r="L113" s="54"/>
      <c r="M113" s="55"/>
      <c r="N113" s="56"/>
      <c r="O113" s="56"/>
      <c r="P113" s="44"/>
      <c r="Q113" s="166"/>
      <c r="R113" s="18">
        <f>G114+J114</f>
        <v>95.443068000000011</v>
      </c>
      <c r="S113" s="735"/>
      <c r="T113" s="737"/>
    </row>
    <row r="114" spans="1:20" ht="11.25" customHeight="1">
      <c r="A114" s="21"/>
      <c r="B114" s="619"/>
      <c r="C114" s="734"/>
      <c r="E114" s="611"/>
      <c r="G114" s="11">
        <f>G113*$J$13/1000</f>
        <v>87.011676000000008</v>
      </c>
      <c r="I114" s="22"/>
      <c r="J114" s="11">
        <f>J113*$Q$13/1000</f>
        <v>8.4313920000000007</v>
      </c>
      <c r="K114" s="23"/>
      <c r="L114" s="739"/>
      <c r="M114" s="58"/>
      <c r="N114" s="167"/>
      <c r="O114" s="168"/>
      <c r="P114" s="60"/>
      <c r="Q114" s="169"/>
      <c r="R114" s="735">
        <f>SUM(Q114:Q115)</f>
        <v>0</v>
      </c>
      <c r="S114" s="736"/>
      <c r="T114" s="738"/>
    </row>
    <row r="115" spans="1:20" ht="12.75" hidden="1" customHeight="1">
      <c r="A115" s="21"/>
      <c r="C115" s="734"/>
      <c r="E115" s="611"/>
      <c r="I115" s="22"/>
      <c r="K115" s="23"/>
      <c r="L115" s="740"/>
      <c r="M115" s="170"/>
      <c r="N115" s="171"/>
      <c r="O115" s="171"/>
      <c r="P115" s="172"/>
      <c r="Q115" s="173"/>
      <c r="R115" s="736"/>
      <c r="S115" s="736"/>
      <c r="T115" s="738"/>
    </row>
    <row r="116" spans="1:20" ht="12.75" customHeight="1">
      <c r="A116" s="29"/>
      <c r="B116" s="30"/>
      <c r="C116" s="31"/>
      <c r="D116" s="32"/>
      <c r="E116" s="33"/>
      <c r="F116" s="34"/>
      <c r="G116" s="35"/>
      <c r="H116" s="34"/>
      <c r="I116" s="36"/>
      <c r="J116" s="35"/>
      <c r="K116" s="37"/>
      <c r="O116" s="40"/>
      <c r="Q116" s="27"/>
      <c r="R116" s="611"/>
      <c r="S116" s="611"/>
      <c r="T116" s="28"/>
    </row>
    <row r="117" spans="1:20" ht="12.75" customHeight="1">
      <c r="A117" s="51">
        <f>A113+1</f>
        <v>6</v>
      </c>
      <c r="B117" s="619" t="s">
        <v>50</v>
      </c>
      <c r="C117" s="733" t="s">
        <v>97</v>
      </c>
      <c r="D117" s="45" t="s">
        <v>26</v>
      </c>
      <c r="E117" s="611">
        <f>1.3/2*194</f>
        <v>126.10000000000001</v>
      </c>
      <c r="G117" s="42">
        <v>0</v>
      </c>
      <c r="I117" s="22"/>
      <c r="J117" s="42">
        <v>0</v>
      </c>
      <c r="K117" s="23"/>
      <c r="L117" s="54"/>
      <c r="M117" s="55"/>
      <c r="N117" s="56"/>
      <c r="O117" s="56"/>
      <c r="P117" s="44"/>
      <c r="Q117" s="166"/>
      <c r="R117" s="18">
        <f>G118+J118</f>
        <v>0</v>
      </c>
      <c r="S117" s="735"/>
      <c r="T117" s="737"/>
    </row>
    <row r="118" spans="1:20" ht="12" customHeight="1">
      <c r="A118" s="21"/>
      <c r="C118" s="734"/>
      <c r="E118" s="611"/>
      <c r="G118" s="11">
        <f>G117*$J$13/1000</f>
        <v>0</v>
      </c>
      <c r="I118" s="22"/>
      <c r="J118" s="11">
        <f>J117*$Q$13/1000</f>
        <v>0</v>
      </c>
      <c r="K118" s="23"/>
      <c r="L118" s="739" t="s">
        <v>237</v>
      </c>
      <c r="M118" s="58" t="s">
        <v>26</v>
      </c>
      <c r="N118" s="167">
        <v>1</v>
      </c>
      <c r="O118" s="168">
        <f>E117*N118</f>
        <v>126.10000000000001</v>
      </c>
      <c r="P118" s="60">
        <v>1.0529999999999999</v>
      </c>
      <c r="Q118" s="169">
        <f>N118*P118*$N$11</f>
        <v>1.2018570291000001</v>
      </c>
      <c r="R118" s="611">
        <f>SUM(Q118:Q118)</f>
        <v>1.2018570291000001</v>
      </c>
      <c r="S118" s="736"/>
      <c r="T118" s="738"/>
    </row>
    <row r="119" spans="1:20" ht="12.75" hidden="1" customHeight="1">
      <c r="A119" s="21"/>
      <c r="C119" s="734"/>
      <c r="E119" s="611"/>
      <c r="I119" s="22"/>
      <c r="K119" s="23"/>
      <c r="L119" s="777"/>
      <c r="M119" s="213"/>
      <c r="N119" s="272"/>
      <c r="O119" s="272"/>
      <c r="P119" s="221"/>
      <c r="Q119" s="216"/>
      <c r="R119" s="611"/>
      <c r="S119" s="611"/>
      <c r="T119" s="28"/>
    </row>
    <row r="120" spans="1:20" ht="12.75" customHeight="1">
      <c r="A120" s="29"/>
      <c r="B120" s="30"/>
      <c r="C120" s="31"/>
      <c r="D120" s="32"/>
      <c r="E120" s="33"/>
      <c r="F120" s="34"/>
      <c r="G120" s="35"/>
      <c r="H120" s="34"/>
      <c r="I120" s="36"/>
      <c r="J120" s="35"/>
      <c r="K120" s="37"/>
      <c r="O120" s="40"/>
      <c r="Q120" s="27"/>
      <c r="R120" s="611"/>
      <c r="S120" s="611"/>
      <c r="T120" s="28"/>
    </row>
    <row r="121" spans="1:20" ht="12.75" customHeight="1">
      <c r="A121" s="51">
        <f>A117+1</f>
        <v>7</v>
      </c>
      <c r="B121" s="619" t="s">
        <v>50</v>
      </c>
      <c r="C121" s="733" t="s">
        <v>70</v>
      </c>
      <c r="D121" s="45" t="s">
        <v>26</v>
      </c>
      <c r="E121" s="611">
        <f>2/2*194</f>
        <v>194</v>
      </c>
      <c r="G121" s="42">
        <v>0</v>
      </c>
      <c r="I121" s="22"/>
      <c r="J121" s="42">
        <v>0</v>
      </c>
      <c r="K121" s="23"/>
      <c r="L121" s="54"/>
      <c r="M121" s="55"/>
      <c r="N121" s="56"/>
      <c r="O121" s="56"/>
      <c r="P121" s="44"/>
      <c r="Q121" s="166"/>
      <c r="R121" s="18">
        <f>G122+J122</f>
        <v>0</v>
      </c>
      <c r="S121" s="735"/>
      <c r="T121" s="737"/>
    </row>
    <row r="122" spans="1:20" ht="12.75" customHeight="1">
      <c r="A122" s="21"/>
      <c r="C122" s="734"/>
      <c r="E122" s="611"/>
      <c r="G122" s="11">
        <f>G121*$J$13/1000</f>
        <v>0</v>
      </c>
      <c r="I122" s="22"/>
      <c r="J122" s="11">
        <f>J121*$Q$13/1000</f>
        <v>0</v>
      </c>
      <c r="K122" s="23"/>
      <c r="L122" s="739" t="s">
        <v>71</v>
      </c>
      <c r="M122" s="58" t="s">
        <v>26</v>
      </c>
      <c r="N122" s="167">
        <v>1</v>
      </c>
      <c r="O122" s="168">
        <f>E121*N122</f>
        <v>194</v>
      </c>
      <c r="P122" s="60">
        <v>0.82799999999999996</v>
      </c>
      <c r="Q122" s="169">
        <f>N122*P122*$N$11</f>
        <v>0.94504997160000015</v>
      </c>
      <c r="R122" s="611">
        <f>SUM(Q122:Q122)</f>
        <v>0.94504997160000015</v>
      </c>
      <c r="S122" s="736"/>
      <c r="T122" s="738"/>
    </row>
    <row r="123" spans="1:20" ht="12.75" hidden="1" customHeight="1">
      <c r="A123" s="21"/>
      <c r="C123" s="734"/>
      <c r="E123" s="611"/>
      <c r="I123" s="22"/>
      <c r="K123" s="23"/>
      <c r="L123" s="777"/>
      <c r="M123" s="213"/>
      <c r="N123" s="272"/>
      <c r="O123" s="272"/>
      <c r="P123" s="221"/>
      <c r="Q123" s="216"/>
      <c r="R123" s="611"/>
      <c r="S123" s="611"/>
      <c r="T123" s="28"/>
    </row>
    <row r="124" spans="1:20" ht="9" customHeight="1">
      <c r="A124" s="29"/>
      <c r="B124" s="30"/>
      <c r="C124" s="31"/>
      <c r="D124" s="32"/>
      <c r="E124" s="33"/>
      <c r="F124" s="34"/>
      <c r="G124" s="35"/>
      <c r="H124" s="34"/>
      <c r="I124" s="36"/>
      <c r="J124" s="35"/>
      <c r="K124" s="37"/>
      <c r="O124" s="40"/>
      <c r="Q124" s="27"/>
      <c r="R124" s="611"/>
      <c r="S124" s="611"/>
      <c r="T124" s="28"/>
    </row>
    <row r="125" spans="1:20" ht="12.75" customHeight="1">
      <c r="A125" s="51">
        <f>A121+1</f>
        <v>8</v>
      </c>
      <c r="B125" s="619" t="s">
        <v>50</v>
      </c>
      <c r="C125" s="733" t="s">
        <v>98</v>
      </c>
      <c r="D125" s="45" t="s">
        <v>26</v>
      </c>
      <c r="E125" s="611">
        <f>3.14/2*194*2</f>
        <v>609.16</v>
      </c>
      <c r="G125" s="42">
        <v>0</v>
      </c>
      <c r="I125" s="22"/>
      <c r="J125" s="42">
        <v>0</v>
      </c>
      <c r="K125" s="23"/>
      <c r="L125" s="54"/>
      <c r="M125" s="55"/>
      <c r="N125" s="56"/>
      <c r="O125" s="56"/>
      <c r="P125" s="44"/>
      <c r="Q125" s="166"/>
      <c r="R125" s="18">
        <f>G126+J126</f>
        <v>0</v>
      </c>
      <c r="S125" s="735"/>
      <c r="T125" s="737"/>
    </row>
    <row r="126" spans="1:20" ht="10.5" customHeight="1">
      <c r="A126" s="21"/>
      <c r="C126" s="734"/>
      <c r="E126" s="611"/>
      <c r="G126" s="11">
        <f>G125*$J$13/1000</f>
        <v>0</v>
      </c>
      <c r="I126" s="22"/>
      <c r="J126" s="11">
        <f>J125*$Q$13/1000</f>
        <v>0</v>
      </c>
      <c r="K126" s="23"/>
      <c r="L126" s="739" t="s">
        <v>99</v>
      </c>
      <c r="M126" s="58" t="s">
        <v>26</v>
      </c>
      <c r="N126" s="167">
        <v>1</v>
      </c>
      <c r="O126" s="168">
        <f>E125*N126</f>
        <v>609.16</v>
      </c>
      <c r="P126" s="60">
        <v>0.63600000000000001</v>
      </c>
      <c r="Q126" s="169">
        <f>N126*P126*$N$11</f>
        <v>0.72590794920000012</v>
      </c>
      <c r="R126" s="611">
        <f>SUM(Q126:Q126)</f>
        <v>0.72590794920000012</v>
      </c>
      <c r="S126" s="736"/>
      <c r="T126" s="738"/>
    </row>
    <row r="127" spans="1:20" ht="12.75" hidden="1" customHeight="1">
      <c r="A127" s="21"/>
      <c r="C127" s="734"/>
      <c r="E127" s="611"/>
      <c r="I127" s="22"/>
      <c r="K127" s="23"/>
      <c r="L127" s="777"/>
      <c r="M127" s="213"/>
      <c r="N127" s="272"/>
      <c r="O127" s="272"/>
      <c r="P127" s="221"/>
      <c r="Q127" s="216"/>
      <c r="R127" s="611"/>
      <c r="S127" s="611"/>
      <c r="T127" s="28"/>
    </row>
    <row r="128" spans="1:20" ht="12.75" customHeight="1">
      <c r="A128" s="29"/>
      <c r="B128" s="30"/>
      <c r="C128" s="31"/>
      <c r="D128" s="32"/>
      <c r="E128" s="33"/>
      <c r="F128" s="34"/>
      <c r="G128" s="35"/>
      <c r="H128" s="34"/>
      <c r="I128" s="36"/>
      <c r="J128" s="35"/>
      <c r="K128" s="37"/>
      <c r="O128" s="40"/>
      <c r="Q128" s="27"/>
      <c r="R128" s="611"/>
      <c r="S128" s="611"/>
      <c r="T128" s="28"/>
    </row>
    <row r="129" spans="1:23" ht="12.75" customHeight="1">
      <c r="A129" s="7">
        <f>A125+1</f>
        <v>9</v>
      </c>
      <c r="B129" s="621" t="s">
        <v>50</v>
      </c>
      <c r="C129" s="733" t="s">
        <v>100</v>
      </c>
      <c r="D129" s="43" t="s">
        <v>33</v>
      </c>
      <c r="E129" s="610">
        <f>2.35/2*194/1000</f>
        <v>0.22795000000000001</v>
      </c>
      <c r="F129" s="44"/>
      <c r="G129" s="11">
        <v>0</v>
      </c>
      <c r="H129" s="44"/>
      <c r="I129" s="10"/>
      <c r="J129" s="11">
        <v>0</v>
      </c>
      <c r="K129" s="12"/>
      <c r="L129" s="54"/>
      <c r="M129" s="55"/>
      <c r="N129" s="56"/>
      <c r="O129" s="56"/>
      <c r="P129" s="44"/>
      <c r="Q129" s="166"/>
      <c r="R129" s="18">
        <f>G130+J130</f>
        <v>0</v>
      </c>
      <c r="S129" s="735"/>
      <c r="T129" s="737"/>
    </row>
    <row r="130" spans="1:23" ht="12.75" customHeight="1">
      <c r="A130" s="21"/>
      <c r="C130" s="734"/>
      <c r="E130" s="611"/>
      <c r="G130" s="11">
        <f>G129*$J$13/1000</f>
        <v>0</v>
      </c>
      <c r="I130" s="22"/>
      <c r="J130" s="11">
        <f>J129*$Q$13/1000</f>
        <v>0</v>
      </c>
      <c r="K130" s="23"/>
      <c r="L130" s="739" t="s">
        <v>65</v>
      </c>
      <c r="M130" s="58" t="s">
        <v>33</v>
      </c>
      <c r="N130" s="167">
        <v>1</v>
      </c>
      <c r="O130" s="168">
        <f>E129*N130</f>
        <v>0.22795000000000001</v>
      </c>
      <c r="P130" s="60">
        <v>422</v>
      </c>
      <c r="Q130" s="169">
        <f>N130*P130*$N$11</f>
        <v>481.65590340000011</v>
      </c>
      <c r="R130" s="611">
        <f>SUM(Q130:Q130)</f>
        <v>481.65590340000011</v>
      </c>
      <c r="S130" s="736"/>
      <c r="T130" s="738"/>
    </row>
    <row r="131" spans="1:23" ht="12.75" hidden="1" customHeight="1">
      <c r="A131" s="21"/>
      <c r="C131" s="734"/>
      <c r="E131" s="611"/>
      <c r="I131" s="22"/>
      <c r="K131" s="23"/>
      <c r="L131" s="777"/>
      <c r="M131" s="213"/>
      <c r="N131" s="272"/>
      <c r="O131" s="272"/>
      <c r="P131" s="221"/>
      <c r="Q131" s="216"/>
      <c r="R131" s="611"/>
      <c r="S131" s="611"/>
      <c r="T131" s="28"/>
    </row>
    <row r="132" spans="1:23" ht="12.75" customHeight="1">
      <c r="A132" s="29"/>
      <c r="B132" s="30"/>
      <c r="C132" s="31"/>
      <c r="D132" s="32"/>
      <c r="E132" s="33"/>
      <c r="F132" s="34"/>
      <c r="G132" s="35"/>
      <c r="H132" s="34"/>
      <c r="I132" s="36"/>
      <c r="J132" s="35"/>
      <c r="K132" s="37"/>
      <c r="L132" s="46"/>
      <c r="M132" s="47"/>
      <c r="N132" s="50"/>
      <c r="O132" s="50"/>
      <c r="P132" s="34"/>
      <c r="Q132" s="48"/>
      <c r="R132" s="33"/>
      <c r="S132" s="33"/>
      <c r="T132" s="49"/>
    </row>
    <row r="133" spans="1:23" ht="12.75" customHeight="1">
      <c r="A133" s="7">
        <f>A129+1</f>
        <v>10</v>
      </c>
      <c r="B133" s="619" t="s">
        <v>63</v>
      </c>
      <c r="C133" s="733" t="s">
        <v>72</v>
      </c>
      <c r="D133" s="45" t="s">
        <v>45</v>
      </c>
      <c r="E133" s="611">
        <f>E113*26/100</f>
        <v>0.55231800000000009</v>
      </c>
      <c r="G133" s="42">
        <v>38.4</v>
      </c>
      <c r="I133" s="22"/>
      <c r="J133" s="42">
        <v>0.03</v>
      </c>
      <c r="K133" s="23"/>
      <c r="L133" s="54"/>
      <c r="M133" s="55"/>
      <c r="N133" s="56"/>
      <c r="O133" s="56"/>
      <c r="P133" s="44"/>
      <c r="Q133" s="166"/>
      <c r="R133" s="18">
        <f>G134+J134</f>
        <v>66.770628300000013</v>
      </c>
      <c r="S133" s="735"/>
      <c r="T133" s="737"/>
    </row>
    <row r="134" spans="1:23" ht="11.25" customHeight="1">
      <c r="A134" s="21"/>
      <c r="B134" s="619" t="s">
        <v>64</v>
      </c>
      <c r="C134" s="734"/>
      <c r="E134" s="611"/>
      <c r="G134" s="11">
        <f>G133*$J$13/1000</f>
        <v>66.691584000000006</v>
      </c>
      <c r="I134" s="22"/>
      <c r="J134" s="11">
        <f>J133*$Q$13/1000</f>
        <v>7.9044299999999998E-2</v>
      </c>
      <c r="K134" s="23"/>
      <c r="L134" s="273" t="s">
        <v>49</v>
      </c>
      <c r="M134" s="274" t="s">
        <v>42</v>
      </c>
      <c r="N134" s="275">
        <v>27.3</v>
      </c>
      <c r="O134" s="276">
        <f>E133*N134</f>
        <v>15.078281400000003</v>
      </c>
      <c r="P134" s="277">
        <v>1.02</v>
      </c>
      <c r="Q134" s="169">
        <f>N134*P134*$N$11</f>
        <v>31.782441436200006</v>
      </c>
      <c r="R134" s="611">
        <f>SUM(Q134:Q134)</f>
        <v>31.782441436200006</v>
      </c>
      <c r="S134" s="736"/>
      <c r="T134" s="738"/>
    </row>
    <row r="135" spans="1:23" ht="12.75" hidden="1" customHeight="1">
      <c r="A135" s="21"/>
      <c r="C135" s="734"/>
      <c r="E135" s="611"/>
      <c r="I135" s="22"/>
      <c r="K135" s="23"/>
      <c r="O135" s="40"/>
      <c r="Q135" s="27"/>
      <c r="R135" s="611"/>
      <c r="S135" s="611"/>
      <c r="T135" s="28"/>
    </row>
    <row r="136" spans="1:23" ht="12.75" hidden="1" customHeight="1">
      <c r="A136" s="21"/>
      <c r="C136" s="734"/>
      <c r="E136" s="611"/>
      <c r="I136" s="22"/>
      <c r="K136" s="23"/>
      <c r="O136" s="40"/>
      <c r="Q136" s="27"/>
      <c r="R136" s="611"/>
      <c r="S136" s="611"/>
      <c r="T136" s="28"/>
    </row>
    <row r="137" spans="1:23" ht="12.75" customHeight="1">
      <c r="A137" s="29"/>
      <c r="B137" s="30"/>
      <c r="C137" s="31"/>
      <c r="D137" s="32"/>
      <c r="E137" s="33"/>
      <c r="F137" s="34"/>
      <c r="G137" s="35"/>
      <c r="H137" s="34"/>
      <c r="I137" s="36"/>
      <c r="J137" s="35"/>
      <c r="K137" s="37"/>
      <c r="L137" s="46"/>
      <c r="M137" s="47"/>
      <c r="N137" s="50"/>
      <c r="O137" s="50"/>
      <c r="P137" s="34"/>
      <c r="Q137" s="48"/>
      <c r="R137" s="33"/>
      <c r="S137" s="33"/>
      <c r="T137" s="49"/>
    </row>
    <row r="138" spans="1:23" ht="18" customHeight="1">
      <c r="A138" s="278"/>
      <c r="B138" s="279"/>
      <c r="C138" s="609" t="s">
        <v>123</v>
      </c>
      <c r="D138" s="280"/>
      <c r="E138" s="18"/>
      <c r="F138" s="16"/>
      <c r="G138" s="281"/>
      <c r="H138" s="16"/>
      <c r="I138" s="282"/>
      <c r="J138" s="281"/>
      <c r="K138" s="283"/>
      <c r="L138" s="13"/>
      <c r="M138" s="14"/>
      <c r="N138" s="15"/>
      <c r="O138" s="15"/>
      <c r="P138" s="16"/>
      <c r="Q138" s="17"/>
      <c r="R138" s="18"/>
      <c r="S138" s="18"/>
      <c r="T138" s="659">
        <v>9.5999999999999992E-3</v>
      </c>
    </row>
    <row r="139" spans="1:23" s="86" customFormat="1" ht="12.75" customHeight="1">
      <c r="A139" s="7">
        <v>1</v>
      </c>
      <c r="B139" s="124" t="s">
        <v>59</v>
      </c>
      <c r="C139" s="778" t="s">
        <v>101</v>
      </c>
      <c r="D139" s="284" t="s">
        <v>31</v>
      </c>
      <c r="E139" s="285">
        <f>0.06*7/100</f>
        <v>4.1999999999999997E-3</v>
      </c>
      <c r="F139" s="109"/>
      <c r="G139" s="89">
        <v>110</v>
      </c>
      <c r="H139" s="109"/>
      <c r="I139" s="111"/>
      <c r="J139" s="89">
        <v>0</v>
      </c>
      <c r="K139" s="112"/>
      <c r="L139" s="80"/>
      <c r="M139" s="81"/>
      <c r="N139" s="286"/>
      <c r="O139" s="286"/>
      <c r="P139" s="83"/>
      <c r="Q139" s="84"/>
      <c r="R139" s="85">
        <f>G140+J140</f>
        <v>191.0436</v>
      </c>
      <c r="S139" s="735"/>
      <c r="T139" s="627"/>
      <c r="U139" s="87"/>
      <c r="V139" s="87"/>
      <c r="W139" s="87"/>
    </row>
    <row r="140" spans="1:23" s="86" customFormat="1" ht="11.25" customHeight="1">
      <c r="A140" s="88"/>
      <c r="B140" s="125" t="s">
        <v>60</v>
      </c>
      <c r="C140" s="770"/>
      <c r="D140" s="287"/>
      <c r="E140" s="626"/>
      <c r="F140" s="106"/>
      <c r="G140" s="11">
        <f>G139*$J$13/1000</f>
        <v>191.0436</v>
      </c>
      <c r="H140" s="106"/>
      <c r="I140" s="77"/>
      <c r="J140" s="89">
        <f>J139*$Q$7/1000</f>
        <v>0</v>
      </c>
      <c r="K140" s="79"/>
      <c r="L140" s="103"/>
      <c r="M140" s="104"/>
      <c r="N140" s="242"/>
      <c r="O140" s="242"/>
      <c r="P140" s="106"/>
      <c r="Q140" s="92"/>
      <c r="R140" s="626"/>
      <c r="S140" s="736"/>
      <c r="T140" s="93"/>
      <c r="U140" s="87"/>
      <c r="V140" s="87"/>
      <c r="W140" s="87"/>
    </row>
    <row r="141" spans="1:23" s="86" customFormat="1" ht="12.75" hidden="1" customHeight="1">
      <c r="A141" s="88"/>
      <c r="B141" s="288"/>
      <c r="C141" s="770"/>
      <c r="D141" s="287"/>
      <c r="E141" s="626"/>
      <c r="F141" s="106"/>
      <c r="G141" s="78"/>
      <c r="H141" s="106"/>
      <c r="I141" s="77"/>
      <c r="J141" s="78"/>
      <c r="K141" s="79"/>
      <c r="L141" s="103"/>
      <c r="M141" s="104"/>
      <c r="N141" s="242"/>
      <c r="O141" s="242"/>
      <c r="P141" s="106"/>
      <c r="Q141" s="92"/>
      <c r="R141" s="626"/>
      <c r="S141" s="626"/>
      <c r="T141" s="93"/>
      <c r="U141" s="87"/>
      <c r="V141" s="87"/>
      <c r="W141" s="87"/>
    </row>
    <row r="142" spans="1:23" s="86" customFormat="1" ht="12" customHeight="1">
      <c r="A142" s="94"/>
      <c r="B142" s="95"/>
      <c r="C142" s="96"/>
      <c r="D142" s="97"/>
      <c r="E142" s="98"/>
      <c r="F142" s="99"/>
      <c r="G142" s="100"/>
      <c r="H142" s="99"/>
      <c r="I142" s="101"/>
      <c r="J142" s="100"/>
      <c r="K142" s="102"/>
      <c r="L142" s="113"/>
      <c r="M142" s="239"/>
      <c r="N142" s="240"/>
      <c r="O142" s="240"/>
      <c r="P142" s="99"/>
      <c r="Q142" s="115"/>
      <c r="R142" s="98"/>
      <c r="S142" s="98"/>
      <c r="T142" s="116"/>
      <c r="U142" s="87"/>
      <c r="V142" s="87"/>
      <c r="W142" s="87"/>
    </row>
    <row r="143" spans="1:23" ht="12.75" customHeight="1">
      <c r="A143" s="51">
        <f>A139+1</f>
        <v>2</v>
      </c>
      <c r="B143" s="619" t="s">
        <v>34</v>
      </c>
      <c r="C143" s="734" t="s">
        <v>102</v>
      </c>
      <c r="D143" s="45" t="s">
        <v>35</v>
      </c>
      <c r="E143" s="611">
        <f>0.04*7</f>
        <v>0.28000000000000003</v>
      </c>
      <c r="G143" s="42">
        <v>1.82</v>
      </c>
      <c r="I143" s="22"/>
      <c r="J143" s="42">
        <v>1.06</v>
      </c>
      <c r="K143" s="23"/>
      <c r="L143" s="289"/>
      <c r="M143" s="47"/>
      <c r="N143" s="70"/>
      <c r="O143" s="71"/>
      <c r="P143" s="34"/>
      <c r="Q143" s="48"/>
      <c r="R143" s="33">
        <f>G144+J144</f>
        <v>5.9538018000000008</v>
      </c>
      <c r="S143" s="735"/>
      <c r="T143" s="738"/>
    </row>
    <row r="144" spans="1:23" ht="12.75" customHeight="1">
      <c r="A144" s="21"/>
      <c r="B144" s="619" t="s">
        <v>44</v>
      </c>
      <c r="C144" s="734"/>
      <c r="E144" s="611"/>
      <c r="G144" s="11">
        <f>G143*$J$13/1000</f>
        <v>3.1609032000000004</v>
      </c>
      <c r="I144" s="22"/>
      <c r="J144" s="11">
        <f>J143*$Q$13/1000</f>
        <v>2.7928986</v>
      </c>
      <c r="K144" s="23"/>
      <c r="L144" s="620" t="s">
        <v>55</v>
      </c>
      <c r="M144" s="213" t="s">
        <v>35</v>
      </c>
      <c r="N144" s="214">
        <f>0.97+0.27</f>
        <v>1.24</v>
      </c>
      <c r="O144" s="214">
        <f>E143*N144</f>
        <v>0.34720000000000001</v>
      </c>
      <c r="P144" s="215">
        <v>4</v>
      </c>
      <c r="Q144" s="216">
        <f>N144*P144*$N$11</f>
        <v>5.6611689120000008</v>
      </c>
      <c r="R144" s="611">
        <f>SUM(Q144:Q144)</f>
        <v>5.6611689120000008</v>
      </c>
      <c r="S144" s="736"/>
      <c r="T144" s="738"/>
    </row>
    <row r="145" spans="1:23" ht="12.75" customHeight="1">
      <c r="A145" s="29"/>
      <c r="B145" s="30"/>
      <c r="C145" s="31"/>
      <c r="D145" s="32"/>
      <c r="E145" s="33"/>
      <c r="F145" s="34"/>
      <c r="G145" s="35"/>
      <c r="H145" s="34"/>
      <c r="I145" s="36"/>
      <c r="J145" s="35"/>
      <c r="K145" s="37"/>
      <c r="L145" s="46"/>
      <c r="M145" s="47"/>
      <c r="N145" s="70"/>
      <c r="O145" s="71"/>
      <c r="P145" s="34"/>
      <c r="Q145" s="48"/>
      <c r="R145" s="33"/>
      <c r="S145" s="33"/>
      <c r="T145" s="49"/>
    </row>
    <row r="146" spans="1:23" ht="12.75" customHeight="1">
      <c r="A146" s="51">
        <f>A143+1</f>
        <v>3</v>
      </c>
      <c r="B146" s="621" t="s">
        <v>61</v>
      </c>
      <c r="C146" s="733" t="s">
        <v>73</v>
      </c>
      <c r="D146" s="43" t="s">
        <v>35</v>
      </c>
      <c r="E146" s="610">
        <f>0.05*7</f>
        <v>0.35000000000000003</v>
      </c>
      <c r="F146" s="44"/>
      <c r="G146" s="11">
        <v>1.84</v>
      </c>
      <c r="H146" s="44"/>
      <c r="I146" s="10"/>
      <c r="J146" s="11">
        <v>0.2</v>
      </c>
      <c r="K146" s="12"/>
      <c r="L146" s="54"/>
      <c r="M146" s="55"/>
      <c r="N146" s="56"/>
      <c r="O146" s="56"/>
      <c r="P146" s="44"/>
      <c r="Q146" s="166"/>
      <c r="R146" s="18">
        <f>G147+J147</f>
        <v>3.7226004000000006</v>
      </c>
      <c r="S146" s="735"/>
      <c r="T146" s="737"/>
    </row>
    <row r="147" spans="1:23" ht="10.5" customHeight="1">
      <c r="A147" s="21"/>
      <c r="B147" s="619" t="s">
        <v>62</v>
      </c>
      <c r="C147" s="734"/>
      <c r="E147" s="611"/>
      <c r="G147" s="11">
        <f>G146*$J$13/1000</f>
        <v>3.1956384000000004</v>
      </c>
      <c r="I147" s="22"/>
      <c r="J147" s="11">
        <f>J146*$Q$13/1000</f>
        <v>0.52696200000000004</v>
      </c>
      <c r="K147" s="23"/>
      <c r="L147" s="615"/>
      <c r="M147" s="58"/>
      <c r="N147" s="167"/>
      <c r="O147" s="168"/>
      <c r="P147" s="60"/>
      <c r="Q147" s="169"/>
      <c r="R147" s="735">
        <f>SUM(Q147:Q150)</f>
        <v>40.401461990254688</v>
      </c>
      <c r="S147" s="736"/>
      <c r="T147" s="738"/>
    </row>
    <row r="148" spans="1:23" ht="12.75" hidden="1" customHeight="1">
      <c r="A148" s="21"/>
      <c r="C148" s="734"/>
      <c r="E148" s="611"/>
      <c r="I148" s="22"/>
      <c r="K148" s="23"/>
      <c r="L148" s="61" t="s">
        <v>74</v>
      </c>
      <c r="M148" s="62" t="s">
        <v>35</v>
      </c>
      <c r="N148" s="266">
        <v>1.0149999999999999</v>
      </c>
      <c r="O148" s="267">
        <f>E146*N148</f>
        <v>0.35525000000000001</v>
      </c>
      <c r="P148" s="64">
        <v>29</v>
      </c>
      <c r="Q148" s="209">
        <f>N148*P148*$N$11</f>
        <v>33.596069944500009</v>
      </c>
      <c r="R148" s="736"/>
      <c r="S148" s="736"/>
      <c r="T148" s="738"/>
    </row>
    <row r="149" spans="1:23" ht="12.75" hidden="1" customHeight="1">
      <c r="A149" s="21"/>
      <c r="C149" s="734"/>
      <c r="E149" s="611"/>
      <c r="I149" s="22"/>
      <c r="K149" s="23"/>
      <c r="L149" s="61" t="s">
        <v>39</v>
      </c>
      <c r="M149" s="62" t="s">
        <v>40</v>
      </c>
      <c r="N149" s="266">
        <v>1.24</v>
      </c>
      <c r="O149" s="267">
        <f>E146*N149</f>
        <v>0.43400000000000005</v>
      </c>
      <c r="P149" s="64">
        <v>3.5</v>
      </c>
      <c r="Q149" s="209">
        <f>N149*P149*$N$11</f>
        <v>4.9535227980000007</v>
      </c>
      <c r="R149" s="736"/>
      <c r="S149" s="736"/>
      <c r="T149" s="738"/>
    </row>
    <row r="150" spans="1:23" ht="12.75" hidden="1" customHeight="1">
      <c r="A150" s="21"/>
      <c r="C150" s="734"/>
      <c r="E150" s="611"/>
      <c r="I150" s="22"/>
      <c r="K150" s="23"/>
      <c r="L150" s="66" t="s">
        <v>41</v>
      </c>
      <c r="M150" s="67" t="s">
        <v>35</v>
      </c>
      <c r="N150" s="268">
        <v>1.32E-2</v>
      </c>
      <c r="O150" s="269">
        <f>E146*N150</f>
        <v>4.6200000000000008E-3</v>
      </c>
      <c r="P150" s="270">
        <v>122.917</v>
      </c>
      <c r="Q150" s="271">
        <f>N150*P150*$N$11</f>
        <v>1.8518692477546803</v>
      </c>
      <c r="R150" s="736"/>
      <c r="S150" s="736"/>
      <c r="T150" s="738"/>
    </row>
    <row r="151" spans="1:23" ht="12.75" customHeight="1">
      <c r="A151" s="29"/>
      <c r="B151" s="30"/>
      <c r="C151" s="31"/>
      <c r="D151" s="32"/>
      <c r="E151" s="33"/>
      <c r="F151" s="34"/>
      <c r="G151" s="35"/>
      <c r="H151" s="34"/>
      <c r="I151" s="36"/>
      <c r="J151" s="35"/>
      <c r="K151" s="37"/>
      <c r="L151" s="46"/>
      <c r="M151" s="47"/>
      <c r="N151" s="50"/>
      <c r="O151" s="50"/>
      <c r="P151" s="34"/>
      <c r="Q151" s="48"/>
      <c r="R151" s="33"/>
      <c r="S151" s="33"/>
      <c r="T151" s="49"/>
    </row>
    <row r="152" spans="1:23" s="187" customFormat="1" ht="12.75" customHeight="1">
      <c r="A152" s="174">
        <f>A146+1</f>
        <v>4</v>
      </c>
      <c r="B152" s="175" t="s">
        <v>79</v>
      </c>
      <c r="C152" s="764" t="s">
        <v>247</v>
      </c>
      <c r="D152" s="176" t="s">
        <v>33</v>
      </c>
      <c r="E152" s="617">
        <f>0.06*1.6*7</f>
        <v>0.67200000000000004</v>
      </c>
      <c r="F152" s="177"/>
      <c r="G152" s="178">
        <v>0.15</v>
      </c>
      <c r="H152" s="177"/>
      <c r="I152" s="179"/>
      <c r="J152" s="178">
        <v>0.5</v>
      </c>
      <c r="K152" s="180"/>
      <c r="L152" s="181"/>
      <c r="M152" s="182"/>
      <c r="N152" s="183"/>
      <c r="O152" s="183"/>
      <c r="P152" s="184"/>
      <c r="Q152" s="185"/>
      <c r="R152" s="186">
        <f>G153+J153</f>
        <v>1.5779190000000001</v>
      </c>
      <c r="S152" s="735"/>
      <c r="T152" s="622"/>
      <c r="U152" s="238"/>
      <c r="V152" s="238"/>
      <c r="W152" s="238"/>
    </row>
    <row r="153" spans="1:23" s="187" customFormat="1" ht="11.25" customHeight="1">
      <c r="A153" s="188"/>
      <c r="B153" s="189"/>
      <c r="C153" s="765"/>
      <c r="D153" s="190"/>
      <c r="E153" s="618"/>
      <c r="F153" s="5"/>
      <c r="G153" s="11">
        <f>G152*$J$13/1000</f>
        <v>0.26051400000000002</v>
      </c>
      <c r="H153" s="41"/>
      <c r="I153" s="22"/>
      <c r="J153" s="11">
        <f>J152*$Q$13/1000</f>
        <v>1.3174049999999999</v>
      </c>
      <c r="K153" s="23"/>
      <c r="L153" s="1"/>
      <c r="M153" s="2"/>
      <c r="N153" s="3"/>
      <c r="O153" s="3"/>
      <c r="P153" s="5"/>
      <c r="Q153" s="193"/>
      <c r="R153" s="618"/>
      <c r="S153" s="736"/>
      <c r="T153" s="194"/>
      <c r="U153" s="238"/>
      <c r="V153" s="238"/>
      <c r="W153" s="238"/>
    </row>
    <row r="154" spans="1:23" s="187" customFormat="1" ht="12.75" hidden="1" customHeight="1">
      <c r="A154" s="188"/>
      <c r="B154" s="189"/>
      <c r="C154" s="765"/>
      <c r="D154" s="190"/>
      <c r="E154" s="618"/>
      <c r="F154" s="5"/>
      <c r="G154" s="6"/>
      <c r="H154" s="5"/>
      <c r="I154" s="191"/>
      <c r="J154" s="6"/>
      <c r="K154" s="192"/>
      <c r="L154" s="1"/>
      <c r="M154" s="2"/>
      <c r="N154" s="3"/>
      <c r="O154" s="3"/>
      <c r="P154" s="5"/>
      <c r="Q154" s="193"/>
      <c r="R154" s="618"/>
      <c r="S154" s="618"/>
      <c r="T154" s="194"/>
      <c r="U154" s="238"/>
      <c r="V154" s="238"/>
      <c r="W154" s="238"/>
    </row>
    <row r="155" spans="1:23" s="187" customFormat="1" ht="12.75" customHeight="1">
      <c r="A155" s="195"/>
      <c r="B155" s="196"/>
      <c r="C155" s="197"/>
      <c r="D155" s="198"/>
      <c r="E155" s="199"/>
      <c r="F155" s="200"/>
      <c r="G155" s="201"/>
      <c r="H155" s="200"/>
      <c r="I155" s="202"/>
      <c r="J155" s="201"/>
      <c r="K155" s="203"/>
      <c r="L155" s="204"/>
      <c r="M155" s="205"/>
      <c r="N155" s="206"/>
      <c r="O155" s="206"/>
      <c r="P155" s="200"/>
      <c r="Q155" s="207"/>
      <c r="R155" s="199"/>
      <c r="S155" s="199"/>
      <c r="T155" s="208"/>
      <c r="U155" s="238"/>
      <c r="V155" s="238"/>
      <c r="W155" s="238"/>
    </row>
    <row r="156" spans="1:23" ht="12.75" customHeight="1">
      <c r="A156" s="51">
        <f>A152+1</f>
        <v>5</v>
      </c>
      <c r="B156" s="52" t="s">
        <v>108</v>
      </c>
      <c r="C156" s="734" t="s">
        <v>103</v>
      </c>
      <c r="D156" s="53" t="s">
        <v>33</v>
      </c>
      <c r="E156" s="290">
        <f>(4.3+14.6+5)/1000*7</f>
        <v>0.16729999999999998</v>
      </c>
      <c r="F156" s="8"/>
      <c r="G156" s="9">
        <v>25.5</v>
      </c>
      <c r="H156" s="8"/>
      <c r="I156" s="22"/>
      <c r="J156" s="42">
        <v>17.100000000000001</v>
      </c>
      <c r="K156" s="23"/>
      <c r="O156" s="40"/>
      <c r="Q156" s="27"/>
      <c r="R156" s="33">
        <f>G157+J157</f>
        <v>89.342631000000011</v>
      </c>
      <c r="S156" s="736"/>
      <c r="T156" s="738"/>
    </row>
    <row r="157" spans="1:23" ht="12" customHeight="1">
      <c r="A157" s="21"/>
      <c r="B157" s="52"/>
      <c r="C157" s="734"/>
      <c r="D157" s="53"/>
      <c r="E157" s="611"/>
      <c r="F157" s="8"/>
      <c r="G157" s="11">
        <f>G156*$J$13/1000</f>
        <v>44.287379999999999</v>
      </c>
      <c r="H157" s="8"/>
      <c r="I157" s="22"/>
      <c r="J157" s="11">
        <f>J156*$Q$13/1000</f>
        <v>45.055251000000005</v>
      </c>
      <c r="K157" s="23"/>
      <c r="L157" s="739" t="s">
        <v>58</v>
      </c>
      <c r="M157" s="58" t="s">
        <v>42</v>
      </c>
      <c r="N157" s="167">
        <v>1.04</v>
      </c>
      <c r="O157" s="168">
        <f>E156*N157</f>
        <v>0.17399199999999998</v>
      </c>
      <c r="P157" s="60">
        <v>0.95599999999999996</v>
      </c>
      <c r="Q157" s="169">
        <f>N157*P157*$N$11</f>
        <v>1.1347904393280002</v>
      </c>
      <c r="R157" s="735">
        <f>SUM(Q157:Q158)</f>
        <v>1.1347904393280002</v>
      </c>
      <c r="S157" s="736"/>
      <c r="T157" s="738"/>
    </row>
    <row r="158" spans="1:23" ht="12.75" hidden="1" customHeight="1">
      <c r="A158" s="21"/>
      <c r="B158" s="19"/>
      <c r="C158" s="734"/>
      <c r="D158" s="53"/>
      <c r="E158" s="611"/>
      <c r="F158" s="8"/>
      <c r="G158" s="9"/>
      <c r="H158" s="8"/>
      <c r="I158" s="22"/>
      <c r="K158" s="23"/>
      <c r="L158" s="740"/>
      <c r="M158" s="170"/>
      <c r="N158" s="171"/>
      <c r="O158" s="171"/>
      <c r="P158" s="172"/>
      <c r="Q158" s="173"/>
      <c r="R158" s="736"/>
      <c r="S158" s="736"/>
      <c r="T158" s="738"/>
    </row>
    <row r="159" spans="1:23" ht="12.75" customHeight="1">
      <c r="A159" s="29"/>
      <c r="B159" s="30"/>
      <c r="C159" s="31"/>
      <c r="D159" s="32"/>
      <c r="E159" s="33"/>
      <c r="F159" s="34"/>
      <c r="G159" s="35"/>
      <c r="H159" s="34"/>
      <c r="I159" s="36"/>
      <c r="J159" s="35"/>
      <c r="K159" s="37"/>
      <c r="O159" s="40"/>
      <c r="Q159" s="27"/>
      <c r="R159" s="611"/>
      <c r="S159" s="611"/>
      <c r="T159" s="28"/>
    </row>
    <row r="160" spans="1:23" ht="12.75" customHeight="1">
      <c r="A160" s="51">
        <f>A156+1</f>
        <v>6</v>
      </c>
      <c r="B160" s="52" t="s">
        <v>50</v>
      </c>
      <c r="C160" s="733" t="s">
        <v>104</v>
      </c>
      <c r="D160" s="53" t="s">
        <v>26</v>
      </c>
      <c r="E160" s="611">
        <f>2*7</f>
        <v>14</v>
      </c>
      <c r="F160" s="8"/>
      <c r="G160" s="9">
        <v>0</v>
      </c>
      <c r="H160" s="8"/>
      <c r="I160" s="22"/>
      <c r="J160" s="42">
        <v>0</v>
      </c>
      <c r="K160" s="23"/>
      <c r="L160" s="54"/>
      <c r="M160" s="55"/>
      <c r="N160" s="56"/>
      <c r="O160" s="56"/>
      <c r="P160" s="44"/>
      <c r="Q160" s="166"/>
      <c r="R160" s="18">
        <f>G161+J161</f>
        <v>0</v>
      </c>
      <c r="S160" s="735"/>
      <c r="T160" s="737"/>
    </row>
    <row r="161" spans="1:23" ht="12" customHeight="1">
      <c r="A161" s="21"/>
      <c r="B161" s="19"/>
      <c r="C161" s="734"/>
      <c r="D161" s="53"/>
      <c r="E161" s="611"/>
      <c r="F161" s="8"/>
      <c r="G161" s="11">
        <f>G160*$J$13/1000</f>
        <v>0</v>
      </c>
      <c r="H161" s="8"/>
      <c r="I161" s="22"/>
      <c r="J161" s="11">
        <f>J160*$Q$13/1000</f>
        <v>0</v>
      </c>
      <c r="K161" s="23"/>
      <c r="L161" s="739" t="s">
        <v>234</v>
      </c>
      <c r="M161" s="58" t="s">
        <v>26</v>
      </c>
      <c r="N161" s="167">
        <v>1</v>
      </c>
      <c r="O161" s="168">
        <f>E160*N161</f>
        <v>14</v>
      </c>
      <c r="P161" s="60">
        <v>0.78300000000000003</v>
      </c>
      <c r="Q161" s="169">
        <f>N161*P161*$N$11</f>
        <v>0.8936885601000002</v>
      </c>
      <c r="R161" s="611">
        <f>SUM(Q161:Q161)</f>
        <v>0.8936885601000002</v>
      </c>
      <c r="S161" s="736"/>
      <c r="T161" s="738"/>
    </row>
    <row r="162" spans="1:23" ht="12.75" hidden="1" customHeight="1">
      <c r="A162" s="21"/>
      <c r="B162" s="19"/>
      <c r="C162" s="734"/>
      <c r="D162" s="53"/>
      <c r="E162" s="611"/>
      <c r="F162" s="8"/>
      <c r="G162" s="9"/>
      <c r="H162" s="8"/>
      <c r="I162" s="22"/>
      <c r="K162" s="23"/>
      <c r="L162" s="777"/>
      <c r="M162" s="213"/>
      <c r="N162" s="272"/>
      <c r="O162" s="272"/>
      <c r="P162" s="221"/>
      <c r="Q162" s="216"/>
      <c r="R162" s="611"/>
      <c r="S162" s="611"/>
      <c r="T162" s="28"/>
    </row>
    <row r="163" spans="1:23" ht="12.75" customHeight="1">
      <c r="A163" s="29"/>
      <c r="B163" s="30"/>
      <c r="C163" s="31"/>
      <c r="D163" s="32"/>
      <c r="E163" s="33"/>
      <c r="F163" s="34"/>
      <c r="G163" s="35"/>
      <c r="H163" s="34"/>
      <c r="I163" s="36"/>
      <c r="J163" s="35"/>
      <c r="K163" s="37"/>
      <c r="O163" s="40"/>
      <c r="Q163" s="27"/>
      <c r="R163" s="611"/>
      <c r="S163" s="611"/>
      <c r="T163" s="28"/>
      <c r="V163" s="19"/>
    </row>
    <row r="164" spans="1:23" s="187" customFormat="1" ht="12.75" customHeight="1">
      <c r="A164" s="243">
        <f>A160+1</f>
        <v>7</v>
      </c>
      <c r="B164" s="52" t="s">
        <v>50</v>
      </c>
      <c r="C164" s="764" t="s">
        <v>106</v>
      </c>
      <c r="D164" s="53" t="s">
        <v>33</v>
      </c>
      <c r="E164" s="291">
        <f>14.6*7/1000</f>
        <v>0.1022</v>
      </c>
      <c r="F164" s="5"/>
      <c r="G164" s="6"/>
      <c r="H164" s="5"/>
      <c r="I164" s="191"/>
      <c r="J164" s="6"/>
      <c r="K164" s="192"/>
      <c r="L164" s="252"/>
      <c r="M164" s="253"/>
      <c r="N164" s="254"/>
      <c r="O164" s="292"/>
      <c r="P164" s="177"/>
      <c r="Q164" s="255"/>
      <c r="R164" s="186">
        <f>G165+J165</f>
        <v>0</v>
      </c>
      <c r="S164" s="772"/>
      <c r="T164" s="774"/>
      <c r="U164" s="238"/>
      <c r="V164" s="20"/>
      <c r="W164" s="238"/>
    </row>
    <row r="165" spans="1:23" s="187" customFormat="1" ht="12.75" customHeight="1">
      <c r="A165" s="188"/>
      <c r="B165" s="256"/>
      <c r="C165" s="765"/>
      <c r="D165" s="190"/>
      <c r="E165" s="618"/>
      <c r="F165" s="5"/>
      <c r="G165" s="11"/>
      <c r="H165" s="41"/>
      <c r="I165" s="22"/>
      <c r="J165" s="11"/>
      <c r="K165" s="192"/>
      <c r="L165" s="780" t="s">
        <v>76</v>
      </c>
      <c r="M165" s="257" t="s">
        <v>33</v>
      </c>
      <c r="N165" s="258">
        <v>1</v>
      </c>
      <c r="O165" s="258">
        <f>E164*N165</f>
        <v>0.1022</v>
      </c>
      <c r="P165" s="260">
        <v>420</v>
      </c>
      <c r="Q165" s="169">
        <f>N165*P165*$N$11</f>
        <v>479.37317400000012</v>
      </c>
      <c r="R165" s="772">
        <f>SUM(Q165:Q166)</f>
        <v>479.37317400000012</v>
      </c>
      <c r="S165" s="776"/>
      <c r="T165" s="779"/>
      <c r="U165" s="238"/>
      <c r="V165" s="238"/>
      <c r="W165" s="238"/>
    </row>
    <row r="166" spans="1:23" s="187" customFormat="1" ht="12.75" customHeight="1">
      <c r="A166" s="188"/>
      <c r="B166" s="189"/>
      <c r="C166" s="765"/>
      <c r="D166" s="190"/>
      <c r="E166" s="618"/>
      <c r="F166" s="5"/>
      <c r="G166" s="6"/>
      <c r="H166" s="5"/>
      <c r="I166" s="191"/>
      <c r="J166" s="6"/>
      <c r="K166" s="192"/>
      <c r="L166" s="781"/>
      <c r="M166" s="293"/>
      <c r="N166" s="294"/>
      <c r="O166" s="295"/>
      <c r="P166" s="296"/>
      <c r="Q166" s="297"/>
      <c r="R166" s="776"/>
      <c r="S166" s="776"/>
      <c r="T166" s="779"/>
      <c r="U166" s="238"/>
      <c r="V166" s="238"/>
      <c r="W166" s="238"/>
    </row>
    <row r="167" spans="1:23" s="187" customFormat="1" ht="7.5" customHeight="1">
      <c r="A167" s="195"/>
      <c r="B167" s="196"/>
      <c r="C167" s="197"/>
      <c r="D167" s="198"/>
      <c r="E167" s="199"/>
      <c r="F167" s="200"/>
      <c r="G167" s="201"/>
      <c r="H167" s="200"/>
      <c r="I167" s="202"/>
      <c r="J167" s="201"/>
      <c r="K167" s="203"/>
      <c r="L167" s="1"/>
      <c r="M167" s="2"/>
      <c r="N167" s="3"/>
      <c r="O167" s="4"/>
      <c r="P167" s="5"/>
      <c r="Q167" s="193"/>
      <c r="R167" s="618"/>
      <c r="S167" s="618"/>
      <c r="T167" s="194"/>
      <c r="U167" s="238"/>
      <c r="V167" s="238"/>
      <c r="W167" s="238"/>
    </row>
    <row r="168" spans="1:23" ht="12.75" customHeight="1">
      <c r="A168" s="51">
        <f>A164+1</f>
        <v>8</v>
      </c>
      <c r="B168" s="52" t="s">
        <v>50</v>
      </c>
      <c r="C168" s="733" t="s">
        <v>251</v>
      </c>
      <c r="D168" s="53" t="s">
        <v>26</v>
      </c>
      <c r="E168" s="611">
        <f>0.5*7</f>
        <v>3.5</v>
      </c>
      <c r="F168" s="8"/>
      <c r="G168" s="9">
        <v>0</v>
      </c>
      <c r="H168" s="8"/>
      <c r="I168" s="22"/>
      <c r="J168" s="42">
        <v>0</v>
      </c>
      <c r="K168" s="23"/>
      <c r="L168" s="54"/>
      <c r="M168" s="55"/>
      <c r="N168" s="56"/>
      <c r="O168" s="56"/>
      <c r="P168" s="44"/>
      <c r="Q168" s="166"/>
      <c r="R168" s="18">
        <f>G169+J169</f>
        <v>0</v>
      </c>
      <c r="S168" s="735"/>
      <c r="T168" s="737"/>
    </row>
    <row r="169" spans="1:23" ht="11.25" customHeight="1">
      <c r="A169" s="21"/>
      <c r="B169" s="19"/>
      <c r="C169" s="734"/>
      <c r="D169" s="53"/>
      <c r="E169" s="611"/>
      <c r="F169" s="8"/>
      <c r="G169" s="11">
        <f>G168*$J$13/1000</f>
        <v>0</v>
      </c>
      <c r="H169" s="8"/>
      <c r="I169" s="22"/>
      <c r="J169" s="11">
        <f>J168*$Q$13/1000</f>
        <v>0</v>
      </c>
      <c r="K169" s="23"/>
      <c r="L169" s="739" t="s">
        <v>105</v>
      </c>
      <c r="M169" s="58" t="s">
        <v>26</v>
      </c>
      <c r="N169" s="167">
        <v>1</v>
      </c>
      <c r="O169" s="168">
        <f>E168*N169</f>
        <v>3.5</v>
      </c>
      <c r="P169" s="60">
        <v>3.2280000000000002</v>
      </c>
      <c r="Q169" s="169">
        <f>N169*P169*$N$11</f>
        <v>3.6843252516000011</v>
      </c>
      <c r="R169" s="611">
        <f>SUM(Q169:Q169)</f>
        <v>3.6843252516000011</v>
      </c>
      <c r="S169" s="736"/>
      <c r="T169" s="738"/>
    </row>
    <row r="170" spans="1:23" ht="12.75" hidden="1" customHeight="1">
      <c r="A170" s="21"/>
      <c r="B170" s="19"/>
      <c r="C170" s="734"/>
      <c r="D170" s="53"/>
      <c r="E170" s="611"/>
      <c r="F170" s="8"/>
      <c r="G170" s="9"/>
      <c r="H170" s="8"/>
      <c r="I170" s="22"/>
      <c r="K170" s="23"/>
      <c r="L170" s="777"/>
      <c r="M170" s="213"/>
      <c r="N170" s="272"/>
      <c r="O170" s="272"/>
      <c r="P170" s="221"/>
      <c r="Q170" s="216"/>
      <c r="R170" s="611"/>
      <c r="S170" s="611"/>
      <c r="T170" s="28"/>
    </row>
    <row r="171" spans="1:23" ht="12.75" customHeight="1">
      <c r="A171" s="29"/>
      <c r="B171" s="30"/>
      <c r="C171" s="31"/>
      <c r="D171" s="32"/>
      <c r="E171" s="33"/>
      <c r="F171" s="34"/>
      <c r="G171" s="35"/>
      <c r="H171" s="34"/>
      <c r="I171" s="36"/>
      <c r="J171" s="35"/>
      <c r="K171" s="37"/>
      <c r="O171" s="40"/>
      <c r="Q171" s="27"/>
      <c r="R171" s="611"/>
      <c r="S171" s="611"/>
      <c r="T171" s="28"/>
    </row>
    <row r="172" spans="1:23" ht="12.75" customHeight="1">
      <c r="A172" s="7">
        <f>A168+1</f>
        <v>9</v>
      </c>
      <c r="B172" s="619" t="s">
        <v>63</v>
      </c>
      <c r="C172" s="733" t="s">
        <v>75</v>
      </c>
      <c r="D172" s="45" t="s">
        <v>45</v>
      </c>
      <c r="E172" s="611">
        <f>0.8*30/100</f>
        <v>0.24</v>
      </c>
      <c r="G172" s="42">
        <v>38.4</v>
      </c>
      <c r="I172" s="22"/>
      <c r="J172" s="42">
        <v>0.03</v>
      </c>
      <c r="K172" s="23"/>
      <c r="L172" s="54"/>
      <c r="M172" s="55"/>
      <c r="N172" s="56"/>
      <c r="O172" s="56"/>
      <c r="P172" s="44"/>
      <c r="Q172" s="166"/>
      <c r="R172" s="18">
        <f>G173+J173</f>
        <v>66.770628300000013</v>
      </c>
      <c r="S172" s="735"/>
      <c r="T172" s="737"/>
    </row>
    <row r="173" spans="1:23" ht="12.75" customHeight="1">
      <c r="A173" s="21"/>
      <c r="B173" s="619" t="s">
        <v>64</v>
      </c>
      <c r="C173" s="734"/>
      <c r="E173" s="611"/>
      <c r="G173" s="11">
        <f>G172*$J$13/1000</f>
        <v>66.691584000000006</v>
      </c>
      <c r="I173" s="22"/>
      <c r="J173" s="11">
        <f>J172*$Q$13/1000</f>
        <v>7.9044299999999998E-2</v>
      </c>
      <c r="K173" s="23"/>
      <c r="L173" s="273" t="s">
        <v>49</v>
      </c>
      <c r="M173" s="274" t="s">
        <v>42</v>
      </c>
      <c r="N173" s="275">
        <v>27.3</v>
      </c>
      <c r="O173" s="276">
        <f>E172*N173</f>
        <v>6.5519999999999996</v>
      </c>
      <c r="P173" s="277">
        <v>1.02</v>
      </c>
      <c r="Q173" s="169">
        <f>N173*P173*$N$11</f>
        <v>31.782441436200006</v>
      </c>
      <c r="R173" s="611">
        <f>SUM(Q173:Q173)</f>
        <v>31.782441436200006</v>
      </c>
      <c r="S173" s="736"/>
      <c r="T173" s="738"/>
    </row>
    <row r="174" spans="1:23" ht="0.75" customHeight="1">
      <c r="A174" s="21"/>
      <c r="C174" s="734"/>
      <c r="E174" s="611"/>
      <c r="I174" s="22"/>
      <c r="K174" s="23"/>
      <c r="O174" s="40"/>
      <c r="Q174" s="27"/>
      <c r="R174" s="611"/>
      <c r="S174" s="611"/>
      <c r="T174" s="28"/>
    </row>
    <row r="175" spans="1:23" ht="12.75" hidden="1" customHeight="1">
      <c r="A175" s="21"/>
      <c r="C175" s="734"/>
      <c r="E175" s="611"/>
      <c r="I175" s="22"/>
      <c r="K175" s="23"/>
      <c r="O175" s="40"/>
      <c r="Q175" s="27"/>
      <c r="R175" s="611"/>
      <c r="S175" s="611"/>
      <c r="T175" s="28"/>
    </row>
    <row r="176" spans="1:23" ht="12.75" customHeight="1">
      <c r="A176" s="29"/>
      <c r="B176" s="30"/>
      <c r="C176" s="31"/>
      <c r="D176" s="32"/>
      <c r="E176" s="33"/>
      <c r="F176" s="34"/>
      <c r="G176" s="35"/>
      <c r="H176" s="34"/>
      <c r="I176" s="36"/>
      <c r="J176" s="35"/>
      <c r="K176" s="37"/>
      <c r="L176" s="46"/>
      <c r="M176" s="47"/>
      <c r="N176" s="50"/>
      <c r="O176" s="50"/>
      <c r="P176" s="34"/>
      <c r="Q176" s="48"/>
      <c r="R176" s="33"/>
      <c r="S176" s="33"/>
      <c r="T176" s="49"/>
    </row>
    <row r="177" spans="1:20" s="86" customFormat="1" ht="18" customHeight="1">
      <c r="A177" s="655" t="s">
        <v>135</v>
      </c>
      <c r="B177" s="656"/>
      <c r="C177" s="624"/>
      <c r="D177" s="298"/>
      <c r="E177" s="85"/>
      <c r="F177" s="83"/>
      <c r="G177" s="299"/>
      <c r="H177" s="83"/>
      <c r="I177" s="300"/>
      <c r="J177" s="299"/>
      <c r="K177" s="301"/>
      <c r="L177" s="80"/>
      <c r="M177" s="81"/>
      <c r="N177" s="82"/>
      <c r="O177" s="82"/>
      <c r="P177" s="83"/>
      <c r="Q177" s="84"/>
      <c r="R177" s="85"/>
      <c r="S177" s="85"/>
      <c r="T177" s="660">
        <v>4.5900000000000003E-2</v>
      </c>
    </row>
    <row r="178" spans="1:20" s="86" customFormat="1" ht="12.75" customHeight="1">
      <c r="A178" s="302">
        <v>1</v>
      </c>
      <c r="B178" s="124" t="s">
        <v>59</v>
      </c>
      <c r="C178" s="778" t="s">
        <v>124</v>
      </c>
      <c r="D178" s="284" t="s">
        <v>31</v>
      </c>
      <c r="E178" s="285">
        <f>0.13*14/100</f>
        <v>1.8200000000000001E-2</v>
      </c>
      <c r="F178" s="109"/>
      <c r="G178" s="89">
        <v>110</v>
      </c>
      <c r="H178" s="109"/>
      <c r="I178" s="111"/>
      <c r="J178" s="89">
        <v>0</v>
      </c>
      <c r="K178" s="112"/>
      <c r="L178" s="80"/>
      <c r="M178" s="81"/>
      <c r="N178" s="286"/>
      <c r="O178" s="286"/>
      <c r="P178" s="83"/>
      <c r="Q178" s="84"/>
      <c r="R178" s="85">
        <f>G179+J179</f>
        <v>191.0436</v>
      </c>
      <c r="S178" s="735"/>
      <c r="T178" s="627"/>
    </row>
    <row r="179" spans="1:20" s="86" customFormat="1" ht="12" customHeight="1">
      <c r="A179" s="88"/>
      <c r="B179" s="125" t="s">
        <v>60</v>
      </c>
      <c r="C179" s="770"/>
      <c r="D179" s="287"/>
      <c r="E179" s="626"/>
      <c r="F179" s="106"/>
      <c r="G179" s="89">
        <f>G178*$J$13/1000</f>
        <v>191.0436</v>
      </c>
      <c r="H179" s="106"/>
      <c r="I179" s="77"/>
      <c r="J179" s="89">
        <f>J178*$Q$7/1000</f>
        <v>0</v>
      </c>
      <c r="K179" s="79"/>
      <c r="L179" s="103"/>
      <c r="M179" s="104"/>
      <c r="N179" s="242"/>
      <c r="O179" s="242"/>
      <c r="P179" s="106"/>
      <c r="Q179" s="92"/>
      <c r="R179" s="626"/>
      <c r="S179" s="736"/>
      <c r="T179" s="93"/>
    </row>
    <row r="180" spans="1:20" s="86" customFormat="1" ht="12.75" hidden="1" customHeight="1">
      <c r="A180" s="88"/>
      <c r="B180" s="288"/>
      <c r="C180" s="770"/>
      <c r="D180" s="287"/>
      <c r="E180" s="626"/>
      <c r="F180" s="106"/>
      <c r="G180" s="78"/>
      <c r="H180" s="106"/>
      <c r="I180" s="77"/>
      <c r="J180" s="78"/>
      <c r="K180" s="79"/>
      <c r="L180" s="103"/>
      <c r="M180" s="104"/>
      <c r="N180" s="242"/>
      <c r="O180" s="242"/>
      <c r="P180" s="106"/>
      <c r="Q180" s="92"/>
      <c r="R180" s="626"/>
      <c r="S180" s="626"/>
      <c r="T180" s="93"/>
    </row>
    <row r="181" spans="1:20" s="86" customFormat="1" ht="15" customHeight="1">
      <c r="A181" s="94"/>
      <c r="B181" s="95"/>
      <c r="C181" s="96"/>
      <c r="D181" s="97"/>
      <c r="E181" s="98"/>
      <c r="F181" s="99"/>
      <c r="G181" s="100"/>
      <c r="H181" s="99"/>
      <c r="I181" s="101"/>
      <c r="J181" s="100"/>
      <c r="K181" s="102"/>
      <c r="L181" s="113"/>
      <c r="M181" s="239"/>
      <c r="N181" s="240"/>
      <c r="O181" s="240"/>
      <c r="P181" s="99"/>
      <c r="Q181" s="115"/>
      <c r="R181" s="98"/>
      <c r="S181" s="98"/>
      <c r="T181" s="116"/>
    </row>
    <row r="182" spans="1:20" ht="12.75" customHeight="1">
      <c r="A182" s="51">
        <f>A178+1</f>
        <v>2</v>
      </c>
      <c r="B182" s="619" t="s">
        <v>34</v>
      </c>
      <c r="C182" s="734" t="s">
        <v>136</v>
      </c>
      <c r="D182" s="45" t="s">
        <v>35</v>
      </c>
      <c r="E182" s="611">
        <f>0.042*14</f>
        <v>0.58800000000000008</v>
      </c>
      <c r="G182" s="42">
        <v>1.82</v>
      </c>
      <c r="I182" s="22"/>
      <c r="J182" s="42">
        <v>1.06</v>
      </c>
      <c r="K182" s="23"/>
      <c r="L182" s="289"/>
      <c r="M182" s="47"/>
      <c r="N182" s="70"/>
      <c r="O182" s="71"/>
      <c r="P182" s="34"/>
      <c r="Q182" s="48"/>
      <c r="R182" s="33">
        <f>G183+J183</f>
        <v>5.9538018000000008</v>
      </c>
      <c r="S182" s="735"/>
      <c r="T182" s="738"/>
    </row>
    <row r="183" spans="1:20" ht="12.75" customHeight="1">
      <c r="A183" s="21"/>
      <c r="B183" s="619" t="s">
        <v>44</v>
      </c>
      <c r="C183" s="734"/>
      <c r="E183" s="611"/>
      <c r="G183" s="11">
        <f>G182*$J$13/1000</f>
        <v>3.1609032000000004</v>
      </c>
      <c r="I183" s="22"/>
      <c r="J183" s="11">
        <f>J182*$Q$13/1000</f>
        <v>2.7928986</v>
      </c>
      <c r="K183" s="23"/>
      <c r="L183" s="620" t="s">
        <v>55</v>
      </c>
      <c r="M183" s="213" t="s">
        <v>35</v>
      </c>
      <c r="N183" s="214">
        <f>0.97+0.27</f>
        <v>1.24</v>
      </c>
      <c r="O183" s="214">
        <f>E182*N183</f>
        <v>0.7291200000000001</v>
      </c>
      <c r="P183" s="215">
        <v>4</v>
      </c>
      <c r="Q183" s="216">
        <f>N183*P183*$N$11</f>
        <v>5.6611689120000008</v>
      </c>
      <c r="R183" s="611">
        <f>SUM(Q183:Q183)</f>
        <v>5.6611689120000008</v>
      </c>
      <c r="S183" s="736"/>
      <c r="T183" s="738"/>
    </row>
    <row r="184" spans="1:20" ht="12.75" customHeight="1">
      <c r="A184" s="29"/>
      <c r="B184" s="30"/>
      <c r="C184" s="31"/>
      <c r="D184" s="32"/>
      <c r="E184" s="33"/>
      <c r="F184" s="34"/>
      <c r="G184" s="35"/>
      <c r="H184" s="34"/>
      <c r="I184" s="36"/>
      <c r="J184" s="35"/>
      <c r="K184" s="37"/>
      <c r="L184" s="46"/>
      <c r="M184" s="47"/>
      <c r="N184" s="70"/>
      <c r="O184" s="71"/>
      <c r="P184" s="34"/>
      <c r="Q184" s="48"/>
      <c r="R184" s="33"/>
      <c r="S184" s="33"/>
      <c r="T184" s="49"/>
    </row>
    <row r="185" spans="1:20" s="86" customFormat="1" ht="12.75" customHeight="1">
      <c r="A185" s="302">
        <f>A182+1</f>
        <v>3</v>
      </c>
      <c r="B185" s="124" t="s">
        <v>61</v>
      </c>
      <c r="C185" s="778" t="s">
        <v>125</v>
      </c>
      <c r="D185" s="284" t="s">
        <v>35</v>
      </c>
      <c r="E185" s="625">
        <f>0.16*14</f>
        <v>2.2400000000000002</v>
      </c>
      <c r="F185" s="109"/>
      <c r="G185" s="89">
        <v>1.84</v>
      </c>
      <c r="H185" s="109"/>
      <c r="I185" s="111"/>
      <c r="J185" s="89">
        <v>0.2</v>
      </c>
      <c r="K185" s="112"/>
      <c r="L185" s="107"/>
      <c r="M185" s="303"/>
      <c r="N185" s="108"/>
      <c r="O185" s="108"/>
      <c r="P185" s="109"/>
      <c r="Q185" s="110"/>
      <c r="R185" s="85">
        <f>G186+J186</f>
        <v>3.7226004000000006</v>
      </c>
      <c r="S185" s="782"/>
      <c r="T185" s="784"/>
    </row>
    <row r="186" spans="1:20" s="86" customFormat="1" ht="12" customHeight="1">
      <c r="A186" s="88"/>
      <c r="B186" s="125" t="s">
        <v>62</v>
      </c>
      <c r="C186" s="770"/>
      <c r="D186" s="287"/>
      <c r="E186" s="626"/>
      <c r="F186" s="106"/>
      <c r="G186" s="89">
        <f>G185*$J$13/1000</f>
        <v>3.1956384000000004</v>
      </c>
      <c r="H186" s="106"/>
      <c r="I186" s="77"/>
      <c r="J186" s="89">
        <f>J185*$Q$13/1000</f>
        <v>0.52696200000000004</v>
      </c>
      <c r="K186" s="79"/>
      <c r="L186" s="629"/>
      <c r="M186" s="304"/>
      <c r="N186" s="117"/>
      <c r="O186" s="118"/>
      <c r="P186" s="119"/>
      <c r="Q186" s="120"/>
      <c r="R186" s="782">
        <f>SUM(Q186:Q189)</f>
        <v>42.811111144894682</v>
      </c>
      <c r="S186" s="783"/>
      <c r="T186" s="785"/>
    </row>
    <row r="187" spans="1:20" s="86" customFormat="1" ht="12.75" hidden="1" customHeight="1">
      <c r="A187" s="88"/>
      <c r="B187" s="288"/>
      <c r="C187" s="770"/>
      <c r="D187" s="287"/>
      <c r="E187" s="626"/>
      <c r="F187" s="106"/>
      <c r="G187" s="78"/>
      <c r="H187" s="106"/>
      <c r="I187" s="77"/>
      <c r="J187" s="78"/>
      <c r="K187" s="79"/>
      <c r="L187" s="305" t="s">
        <v>96</v>
      </c>
      <c r="M187" s="306" t="s">
        <v>35</v>
      </c>
      <c r="N187" s="307">
        <v>1.0149999999999999</v>
      </c>
      <c r="O187" s="308">
        <f>E185*N187</f>
        <v>2.2736000000000001</v>
      </c>
      <c r="P187" s="309">
        <v>31.08</v>
      </c>
      <c r="Q187" s="310">
        <f>N187*P187*$N$11</f>
        <v>36.005719099140002</v>
      </c>
      <c r="R187" s="783"/>
      <c r="S187" s="783"/>
      <c r="T187" s="785"/>
    </row>
    <row r="188" spans="1:20" s="86" customFormat="1" ht="12.75" hidden="1" customHeight="1">
      <c r="A188" s="88"/>
      <c r="B188" s="288"/>
      <c r="C188" s="770"/>
      <c r="D188" s="287"/>
      <c r="E188" s="626"/>
      <c r="F188" s="106"/>
      <c r="G188" s="78"/>
      <c r="H188" s="106"/>
      <c r="I188" s="77"/>
      <c r="J188" s="78"/>
      <c r="K188" s="79"/>
      <c r="L188" s="305" t="s">
        <v>39</v>
      </c>
      <c r="M188" s="306" t="s">
        <v>40</v>
      </c>
      <c r="N188" s="307">
        <v>1.24</v>
      </c>
      <c r="O188" s="308">
        <f>E185*N188</f>
        <v>2.7776000000000001</v>
      </c>
      <c r="P188" s="309">
        <v>3.5</v>
      </c>
      <c r="Q188" s="310">
        <f>N188*P188*$N$11</f>
        <v>4.9535227980000007</v>
      </c>
      <c r="R188" s="783"/>
      <c r="S188" s="783"/>
      <c r="T188" s="785"/>
    </row>
    <row r="189" spans="1:20" s="86" customFormat="1" ht="12.75" hidden="1" customHeight="1">
      <c r="A189" s="88"/>
      <c r="B189" s="288"/>
      <c r="C189" s="770"/>
      <c r="D189" s="287"/>
      <c r="E189" s="626"/>
      <c r="F189" s="106"/>
      <c r="G189" s="78"/>
      <c r="H189" s="106"/>
      <c r="I189" s="77"/>
      <c r="J189" s="78"/>
      <c r="K189" s="79"/>
      <c r="L189" s="311" t="s">
        <v>41</v>
      </c>
      <c r="M189" s="312" t="s">
        <v>35</v>
      </c>
      <c r="N189" s="313">
        <v>1.32E-2</v>
      </c>
      <c r="O189" s="314">
        <f>E185*N189</f>
        <v>2.9568000000000004E-2</v>
      </c>
      <c r="P189" s="270">
        <v>122.917</v>
      </c>
      <c r="Q189" s="315">
        <f>N189*P189*$N$11</f>
        <v>1.8518692477546803</v>
      </c>
      <c r="R189" s="783"/>
      <c r="S189" s="783"/>
      <c r="T189" s="785"/>
    </row>
    <row r="190" spans="1:20" s="86" customFormat="1" ht="12.75" customHeight="1">
      <c r="A190" s="94"/>
      <c r="B190" s="95"/>
      <c r="C190" s="96"/>
      <c r="D190" s="97"/>
      <c r="E190" s="98"/>
      <c r="F190" s="99"/>
      <c r="G190" s="100"/>
      <c r="H190" s="99"/>
      <c r="I190" s="101"/>
      <c r="J190" s="100"/>
      <c r="K190" s="102"/>
      <c r="L190" s="113"/>
      <c r="M190" s="239"/>
      <c r="N190" s="114"/>
      <c r="O190" s="114"/>
      <c r="P190" s="99"/>
      <c r="Q190" s="115"/>
      <c r="R190" s="98"/>
      <c r="S190" s="98"/>
      <c r="T190" s="116"/>
    </row>
    <row r="191" spans="1:20" s="86" customFormat="1" ht="12.75" customHeight="1">
      <c r="A191" s="72">
        <f>A185+1</f>
        <v>4</v>
      </c>
      <c r="B191" s="126" t="s">
        <v>57</v>
      </c>
      <c r="C191" s="770" t="s">
        <v>66</v>
      </c>
      <c r="D191" s="73" t="s">
        <v>33</v>
      </c>
      <c r="E191" s="74">
        <f>(7.2+28.8+13.6+1.06+4.2+0.87+4.1+1.76)/1000*14</f>
        <v>0.86226000000000003</v>
      </c>
      <c r="F191" s="75"/>
      <c r="G191" s="76">
        <v>34</v>
      </c>
      <c r="H191" s="75"/>
      <c r="I191" s="77"/>
      <c r="J191" s="78">
        <v>1</v>
      </c>
      <c r="K191" s="79"/>
      <c r="L191" s="103"/>
      <c r="M191" s="104"/>
      <c r="N191" s="105"/>
      <c r="O191" s="105"/>
      <c r="P191" s="106"/>
      <c r="Q191" s="92"/>
      <c r="R191" s="98">
        <f>G192+J192</f>
        <v>61.684649999999998</v>
      </c>
      <c r="S191" s="783"/>
      <c r="T191" s="785"/>
    </row>
    <row r="192" spans="1:20" s="86" customFormat="1" ht="10.5" customHeight="1">
      <c r="A192" s="88"/>
      <c r="B192" s="126"/>
      <c r="C192" s="770"/>
      <c r="D192" s="73"/>
      <c r="E192" s="626"/>
      <c r="F192" s="75"/>
      <c r="G192" s="89">
        <f>G191*$J$13/1000</f>
        <v>59.049839999999996</v>
      </c>
      <c r="H192" s="75"/>
      <c r="I192" s="77"/>
      <c r="J192" s="89">
        <f>J191*$Q$13/1000</f>
        <v>2.6348099999999999</v>
      </c>
      <c r="K192" s="79"/>
      <c r="L192" s="786" t="s">
        <v>58</v>
      </c>
      <c r="M192" s="304" t="s">
        <v>42</v>
      </c>
      <c r="N192" s="117">
        <v>1.04</v>
      </c>
      <c r="O192" s="118">
        <f>E191*N192</f>
        <v>0.89675040000000006</v>
      </c>
      <c r="P192" s="119">
        <v>0.95599999999999996</v>
      </c>
      <c r="Q192" s="120">
        <f>N192*P192*$N$11</f>
        <v>1.1347904393280002</v>
      </c>
      <c r="R192" s="782">
        <f>SUM(Q192:Q193)</f>
        <v>1.1347904393280002</v>
      </c>
      <c r="S192" s="783"/>
      <c r="T192" s="785"/>
    </row>
    <row r="193" spans="1:20" s="86" customFormat="1" ht="12" hidden="1">
      <c r="A193" s="88"/>
      <c r="C193" s="770"/>
      <c r="D193" s="73"/>
      <c r="E193" s="626"/>
      <c r="F193" s="75"/>
      <c r="G193" s="76"/>
      <c r="H193" s="75"/>
      <c r="I193" s="77"/>
      <c r="J193" s="78"/>
      <c r="K193" s="79"/>
      <c r="L193" s="788"/>
      <c r="M193" s="316"/>
      <c r="N193" s="317"/>
      <c r="O193" s="317"/>
      <c r="P193" s="318"/>
      <c r="Q193" s="319"/>
      <c r="R193" s="783"/>
      <c r="S193" s="783"/>
      <c r="T193" s="785"/>
    </row>
    <row r="194" spans="1:20" s="86" customFormat="1">
      <c r="A194" s="94"/>
      <c r="B194" s="95"/>
      <c r="C194" s="96"/>
      <c r="D194" s="97"/>
      <c r="E194" s="98"/>
      <c r="F194" s="99"/>
      <c r="G194" s="100"/>
      <c r="H194" s="99"/>
      <c r="I194" s="101"/>
      <c r="J194" s="100"/>
      <c r="K194" s="102"/>
      <c r="L194" s="103"/>
      <c r="M194" s="104"/>
      <c r="N194" s="105"/>
      <c r="O194" s="105"/>
      <c r="P194" s="106"/>
      <c r="Q194" s="92"/>
      <c r="R194" s="626"/>
      <c r="S194" s="626"/>
      <c r="T194" s="93"/>
    </row>
    <row r="195" spans="1:20" s="86" customFormat="1" ht="12">
      <c r="A195" s="72">
        <f>A191+1</f>
        <v>5</v>
      </c>
      <c r="B195" s="126" t="s">
        <v>50</v>
      </c>
      <c r="C195" s="778" t="s">
        <v>137</v>
      </c>
      <c r="D195" s="73" t="s">
        <v>33</v>
      </c>
      <c r="E195" s="626">
        <f>7.2/1000*14</f>
        <v>0.1008</v>
      </c>
      <c r="F195" s="75"/>
      <c r="G195" s="76">
        <v>0</v>
      </c>
      <c r="H195" s="75"/>
      <c r="I195" s="77"/>
      <c r="J195" s="78">
        <v>0</v>
      </c>
      <c r="K195" s="79"/>
      <c r="L195" s="107"/>
      <c r="M195" s="303"/>
      <c r="N195" s="108"/>
      <c r="O195" s="108"/>
      <c r="P195" s="109"/>
      <c r="Q195" s="110"/>
      <c r="R195" s="85">
        <f>G196+J196</f>
        <v>0</v>
      </c>
      <c r="S195" s="735"/>
      <c r="T195" s="784"/>
    </row>
    <row r="196" spans="1:20" s="86" customFormat="1" ht="12">
      <c r="A196" s="88"/>
      <c r="C196" s="770"/>
      <c r="D196" s="73"/>
      <c r="E196" s="626"/>
      <c r="F196" s="75"/>
      <c r="G196" s="89">
        <f>G195*$J$13/1000</f>
        <v>0</v>
      </c>
      <c r="H196" s="75"/>
      <c r="I196" s="77"/>
      <c r="J196" s="89">
        <f>J195*$Q$13/1000</f>
        <v>0</v>
      </c>
      <c r="K196" s="79"/>
      <c r="L196" s="786" t="s">
        <v>127</v>
      </c>
      <c r="M196" s="304" t="s">
        <v>33</v>
      </c>
      <c r="N196" s="117">
        <v>1</v>
      </c>
      <c r="O196" s="118">
        <f>E195*N196</f>
        <v>0.1008</v>
      </c>
      <c r="P196" s="119">
        <v>400</v>
      </c>
      <c r="Q196" s="120">
        <f>N196*P196*$N$11</f>
        <v>456.54588000000007</v>
      </c>
      <c r="R196" s="626">
        <f>SUM(Q196:Q196)</f>
        <v>456.54588000000007</v>
      </c>
      <c r="S196" s="736"/>
      <c r="T196" s="785"/>
    </row>
    <row r="197" spans="1:20" s="86" customFormat="1" ht="12" hidden="1">
      <c r="A197" s="88"/>
      <c r="C197" s="770"/>
      <c r="D197" s="73"/>
      <c r="E197" s="626"/>
      <c r="F197" s="75"/>
      <c r="G197" s="76"/>
      <c r="H197" s="75"/>
      <c r="I197" s="77"/>
      <c r="J197" s="78"/>
      <c r="K197" s="79"/>
      <c r="L197" s="787"/>
      <c r="M197" s="320"/>
      <c r="N197" s="121"/>
      <c r="O197" s="121"/>
      <c r="P197" s="122"/>
      <c r="Q197" s="123"/>
      <c r="R197" s="626"/>
      <c r="S197" s="626"/>
      <c r="T197" s="93"/>
    </row>
    <row r="198" spans="1:20" s="86" customFormat="1">
      <c r="A198" s="94"/>
      <c r="B198" s="95"/>
      <c r="C198" s="96"/>
      <c r="D198" s="97"/>
      <c r="E198" s="98"/>
      <c r="F198" s="99"/>
      <c r="G198" s="100"/>
      <c r="H198" s="99"/>
      <c r="I198" s="101"/>
      <c r="J198" s="100"/>
      <c r="K198" s="102"/>
      <c r="L198" s="103"/>
      <c r="M198" s="104"/>
      <c r="N198" s="105"/>
      <c r="O198" s="105"/>
      <c r="P198" s="106"/>
      <c r="Q198" s="92"/>
      <c r="R198" s="626"/>
      <c r="S198" s="626"/>
      <c r="T198" s="93"/>
    </row>
    <row r="199" spans="1:20" s="86" customFormat="1" ht="12">
      <c r="A199" s="72">
        <f>A195+1</f>
        <v>6</v>
      </c>
      <c r="B199" s="126" t="s">
        <v>50</v>
      </c>
      <c r="C199" s="778" t="s">
        <v>126</v>
      </c>
      <c r="D199" s="73" t="s">
        <v>33</v>
      </c>
      <c r="E199" s="626">
        <f>13.2/1000*14</f>
        <v>0.18479999999999999</v>
      </c>
      <c r="F199" s="75"/>
      <c r="G199" s="76">
        <v>0</v>
      </c>
      <c r="H199" s="75"/>
      <c r="I199" s="77"/>
      <c r="J199" s="78">
        <v>0</v>
      </c>
      <c r="K199" s="79"/>
      <c r="L199" s="107"/>
      <c r="M199" s="303"/>
      <c r="N199" s="108"/>
      <c r="O199" s="108"/>
      <c r="P199" s="109"/>
      <c r="Q199" s="110"/>
      <c r="R199" s="85">
        <f>G200+J200</f>
        <v>0</v>
      </c>
      <c r="S199" s="735"/>
      <c r="T199" s="784"/>
    </row>
    <row r="200" spans="1:20" s="86" customFormat="1" ht="11.25" customHeight="1">
      <c r="A200" s="88"/>
      <c r="C200" s="770"/>
      <c r="D200" s="73"/>
      <c r="E200" s="626"/>
      <c r="F200" s="75"/>
      <c r="G200" s="89">
        <f>G199*$J$13/1000</f>
        <v>0</v>
      </c>
      <c r="H200" s="75"/>
      <c r="I200" s="77"/>
      <c r="J200" s="89">
        <f>J199*$Q$13/1000</f>
        <v>0</v>
      </c>
      <c r="K200" s="79"/>
      <c r="L200" s="786" t="s">
        <v>127</v>
      </c>
      <c r="M200" s="304" t="s">
        <v>33</v>
      </c>
      <c r="N200" s="117">
        <v>1</v>
      </c>
      <c r="O200" s="118">
        <f>E199*N200</f>
        <v>0.18479999999999999</v>
      </c>
      <c r="P200" s="119">
        <v>400</v>
      </c>
      <c r="Q200" s="120">
        <f>N200*P200*$N$11</f>
        <v>456.54588000000007</v>
      </c>
      <c r="R200" s="626">
        <f>SUM(Q200:Q200)</f>
        <v>456.54588000000007</v>
      </c>
      <c r="S200" s="736"/>
      <c r="T200" s="785"/>
    </row>
    <row r="201" spans="1:20" s="86" customFormat="1" ht="12" hidden="1">
      <c r="A201" s="88"/>
      <c r="C201" s="770"/>
      <c r="D201" s="73"/>
      <c r="E201" s="626"/>
      <c r="F201" s="75"/>
      <c r="G201" s="76"/>
      <c r="H201" s="75"/>
      <c r="I201" s="77"/>
      <c r="J201" s="78"/>
      <c r="K201" s="79"/>
      <c r="L201" s="787"/>
      <c r="M201" s="320"/>
      <c r="N201" s="121"/>
      <c r="O201" s="121"/>
      <c r="P201" s="122"/>
      <c r="Q201" s="123"/>
      <c r="R201" s="626"/>
      <c r="S201" s="626"/>
      <c r="T201" s="93"/>
    </row>
    <row r="202" spans="1:20" s="86" customFormat="1">
      <c r="A202" s="94"/>
      <c r="B202" s="95"/>
      <c r="C202" s="96"/>
      <c r="D202" s="97"/>
      <c r="E202" s="98"/>
      <c r="F202" s="99"/>
      <c r="G202" s="100"/>
      <c r="H202" s="99"/>
      <c r="I202" s="101"/>
      <c r="J202" s="100"/>
      <c r="K202" s="102"/>
      <c r="L202" s="103"/>
      <c r="M202" s="104"/>
      <c r="N202" s="105"/>
      <c r="O202" s="105"/>
      <c r="P202" s="106"/>
      <c r="Q202" s="92"/>
      <c r="R202" s="626"/>
      <c r="S202" s="626"/>
      <c r="T202" s="93"/>
    </row>
    <row r="203" spans="1:20" s="86" customFormat="1" ht="12">
      <c r="A203" s="72">
        <f>A199+1</f>
        <v>7</v>
      </c>
      <c r="B203" s="126" t="s">
        <v>50</v>
      </c>
      <c r="C203" s="778" t="s">
        <v>138</v>
      </c>
      <c r="D203" s="73" t="s">
        <v>33</v>
      </c>
      <c r="E203" s="626">
        <f>(13.6+1.06)/1000*14</f>
        <v>0.20523999999999998</v>
      </c>
      <c r="F203" s="75"/>
      <c r="G203" s="76">
        <v>0</v>
      </c>
      <c r="H203" s="75"/>
      <c r="I203" s="77"/>
      <c r="J203" s="78">
        <v>0</v>
      </c>
      <c r="K203" s="79"/>
      <c r="L203" s="107"/>
      <c r="M203" s="303"/>
      <c r="N203" s="108"/>
      <c r="O203" s="108"/>
      <c r="P203" s="109"/>
      <c r="Q203" s="110"/>
      <c r="R203" s="85">
        <f>G204+J204</f>
        <v>0</v>
      </c>
      <c r="S203" s="735"/>
      <c r="T203" s="784"/>
    </row>
    <row r="204" spans="1:20" s="86" customFormat="1" ht="11.25" customHeight="1">
      <c r="A204" s="88"/>
      <c r="C204" s="770"/>
      <c r="D204" s="73"/>
      <c r="E204" s="626"/>
      <c r="F204" s="75"/>
      <c r="G204" s="89">
        <f>G203*$J$13/1000</f>
        <v>0</v>
      </c>
      <c r="H204" s="75"/>
      <c r="I204" s="77"/>
      <c r="J204" s="89">
        <f>J203*$Q$13/1000</f>
        <v>0</v>
      </c>
      <c r="K204" s="79"/>
      <c r="L204" s="786" t="s">
        <v>235</v>
      </c>
      <c r="M204" s="304" t="s">
        <v>33</v>
      </c>
      <c r="N204" s="117">
        <v>1</v>
      </c>
      <c r="O204" s="118">
        <f>E203*N204</f>
        <v>0.20523999999999998</v>
      </c>
      <c r="P204" s="119">
        <v>400</v>
      </c>
      <c r="Q204" s="120">
        <f>N204*P204*$N$11</f>
        <v>456.54588000000007</v>
      </c>
      <c r="R204" s="626">
        <f>SUM(Q204:Q204)</f>
        <v>456.54588000000007</v>
      </c>
      <c r="S204" s="736"/>
      <c r="T204" s="785"/>
    </row>
    <row r="205" spans="1:20" s="86" customFormat="1" ht="12" hidden="1">
      <c r="A205" s="88"/>
      <c r="C205" s="770"/>
      <c r="D205" s="73"/>
      <c r="E205" s="626"/>
      <c r="F205" s="75"/>
      <c r="G205" s="76"/>
      <c r="H205" s="75"/>
      <c r="I205" s="77"/>
      <c r="J205" s="78"/>
      <c r="K205" s="79"/>
      <c r="L205" s="787"/>
      <c r="M205" s="320"/>
      <c r="N205" s="121"/>
      <c r="O205" s="121"/>
      <c r="P205" s="122"/>
      <c r="Q205" s="123"/>
      <c r="R205" s="626"/>
      <c r="S205" s="626"/>
      <c r="T205" s="93"/>
    </row>
    <row r="206" spans="1:20" s="86" customFormat="1">
      <c r="A206" s="94"/>
      <c r="B206" s="95"/>
      <c r="C206" s="96"/>
      <c r="D206" s="97"/>
      <c r="E206" s="98"/>
      <c r="F206" s="99"/>
      <c r="G206" s="100"/>
      <c r="H206" s="99"/>
      <c r="I206" s="101"/>
      <c r="J206" s="100"/>
      <c r="K206" s="102"/>
      <c r="L206" s="103"/>
      <c r="M206" s="104"/>
      <c r="N206" s="105"/>
      <c r="O206" s="105"/>
      <c r="P206" s="106"/>
      <c r="Q206" s="92"/>
      <c r="R206" s="626"/>
      <c r="S206" s="626"/>
      <c r="T206" s="93"/>
    </row>
    <row r="207" spans="1:20" s="86" customFormat="1" ht="12">
      <c r="A207" s="72">
        <f>A203+1</f>
        <v>8</v>
      </c>
      <c r="B207" s="126" t="s">
        <v>50</v>
      </c>
      <c r="C207" s="778" t="s">
        <v>139</v>
      </c>
      <c r="D207" s="73" t="s">
        <v>33</v>
      </c>
      <c r="E207" s="626">
        <f>(4.2+0.87)/1000*14</f>
        <v>7.0980000000000001E-2</v>
      </c>
      <c r="F207" s="75"/>
      <c r="G207" s="76">
        <v>0</v>
      </c>
      <c r="H207" s="75"/>
      <c r="I207" s="77"/>
      <c r="J207" s="78">
        <v>0</v>
      </c>
      <c r="K207" s="79"/>
      <c r="L207" s="107"/>
      <c r="M207" s="303"/>
      <c r="N207" s="108"/>
      <c r="O207" s="108"/>
      <c r="P207" s="109"/>
      <c r="Q207" s="110"/>
      <c r="R207" s="85">
        <f>G208+J208</f>
        <v>0</v>
      </c>
      <c r="S207" s="735"/>
      <c r="T207" s="784"/>
    </row>
    <row r="208" spans="1:20" s="86" customFormat="1" ht="12">
      <c r="A208" s="88"/>
      <c r="C208" s="770"/>
      <c r="D208" s="73"/>
      <c r="E208" s="626"/>
      <c r="F208" s="75"/>
      <c r="G208" s="89">
        <f>G207*$J$13/1000</f>
        <v>0</v>
      </c>
      <c r="H208" s="75"/>
      <c r="I208" s="77"/>
      <c r="J208" s="89">
        <f>J207*$Q$13/1000</f>
        <v>0</v>
      </c>
      <c r="K208" s="79"/>
      <c r="L208" s="786" t="s">
        <v>236</v>
      </c>
      <c r="M208" s="304" t="s">
        <v>33</v>
      </c>
      <c r="N208" s="117">
        <v>1</v>
      </c>
      <c r="O208" s="118">
        <f>E207*N208</f>
        <v>7.0980000000000001E-2</v>
      </c>
      <c r="P208" s="119">
        <v>400</v>
      </c>
      <c r="Q208" s="120">
        <f>N208*P208*$N$11</f>
        <v>456.54588000000007</v>
      </c>
      <c r="R208" s="626">
        <f>SUM(Q208:Q208)</f>
        <v>456.54588000000007</v>
      </c>
      <c r="S208" s="736"/>
      <c r="T208" s="785"/>
    </row>
    <row r="209" spans="1:23" s="86" customFormat="1" ht="12.75" hidden="1" customHeight="1">
      <c r="A209" s="88"/>
      <c r="C209" s="770"/>
      <c r="D209" s="73"/>
      <c r="E209" s="626"/>
      <c r="F209" s="75"/>
      <c r="G209" s="76"/>
      <c r="H209" s="75"/>
      <c r="I209" s="77"/>
      <c r="J209" s="78"/>
      <c r="K209" s="79"/>
      <c r="L209" s="787"/>
      <c r="M209" s="320"/>
      <c r="N209" s="121"/>
      <c r="O209" s="121"/>
      <c r="P209" s="122"/>
      <c r="Q209" s="123"/>
      <c r="R209" s="626"/>
      <c r="S209" s="626"/>
      <c r="T209" s="93"/>
    </row>
    <row r="210" spans="1:23" s="86" customFormat="1" ht="12.75" customHeight="1">
      <c r="A210" s="94"/>
      <c r="B210" s="95"/>
      <c r="C210" s="96"/>
      <c r="D210" s="97"/>
      <c r="E210" s="98"/>
      <c r="F210" s="99"/>
      <c r="G210" s="100"/>
      <c r="H210" s="99"/>
      <c r="I210" s="101"/>
      <c r="J210" s="100"/>
      <c r="K210" s="102"/>
      <c r="L210" s="103"/>
      <c r="M210" s="104"/>
      <c r="N210" s="105"/>
      <c r="O210" s="105"/>
      <c r="P210" s="106"/>
      <c r="Q210" s="92"/>
      <c r="R210" s="626"/>
      <c r="S210" s="626"/>
      <c r="T210" s="93"/>
    </row>
    <row r="211" spans="1:23" s="86" customFormat="1" ht="12.75" customHeight="1">
      <c r="A211" s="72">
        <f>A207+1</f>
        <v>9</v>
      </c>
      <c r="B211" s="126" t="s">
        <v>50</v>
      </c>
      <c r="C211" s="778" t="s">
        <v>128</v>
      </c>
      <c r="D211" s="73" t="s">
        <v>33</v>
      </c>
      <c r="E211" s="626">
        <f>(4.1+1.76)/1000*26</f>
        <v>0.15236</v>
      </c>
      <c r="F211" s="75"/>
      <c r="G211" s="76">
        <v>0</v>
      </c>
      <c r="H211" s="75"/>
      <c r="I211" s="77"/>
      <c r="J211" s="78">
        <v>0</v>
      </c>
      <c r="K211" s="79"/>
      <c r="L211" s="107"/>
      <c r="M211" s="303"/>
      <c r="N211" s="108"/>
      <c r="O211" s="108"/>
      <c r="P211" s="109"/>
      <c r="Q211" s="110"/>
      <c r="R211" s="85">
        <f>G212+J212</f>
        <v>0</v>
      </c>
      <c r="S211" s="735"/>
      <c r="T211" s="784"/>
    </row>
    <row r="212" spans="1:23" s="86" customFormat="1" ht="10.5" customHeight="1">
      <c r="A212" s="88"/>
      <c r="C212" s="770"/>
      <c r="D212" s="73"/>
      <c r="E212" s="626"/>
      <c r="F212" s="75"/>
      <c r="G212" s="89">
        <f>G211*$J$13/1000</f>
        <v>0</v>
      </c>
      <c r="H212" s="75"/>
      <c r="I212" s="77"/>
      <c r="J212" s="89">
        <f>J211*$Q$13/1000</f>
        <v>0</v>
      </c>
      <c r="K212" s="79"/>
      <c r="L212" s="786" t="s">
        <v>65</v>
      </c>
      <c r="M212" s="304" t="s">
        <v>33</v>
      </c>
      <c r="N212" s="117">
        <v>1</v>
      </c>
      <c r="O212" s="118">
        <f>E211*N212</f>
        <v>0.15236</v>
      </c>
      <c r="P212" s="119">
        <v>422</v>
      </c>
      <c r="Q212" s="120">
        <f>N212*P212*$N$11</f>
        <v>481.65590340000011</v>
      </c>
      <c r="R212" s="626">
        <f>SUM(Q212:Q212)</f>
        <v>481.65590340000011</v>
      </c>
      <c r="S212" s="736"/>
      <c r="T212" s="785"/>
    </row>
    <row r="213" spans="1:23" s="86" customFormat="1" ht="12.75" hidden="1" customHeight="1">
      <c r="A213" s="88"/>
      <c r="C213" s="770"/>
      <c r="D213" s="73"/>
      <c r="E213" s="626"/>
      <c r="F213" s="75"/>
      <c r="G213" s="76"/>
      <c r="H213" s="75"/>
      <c r="I213" s="77"/>
      <c r="J213" s="78"/>
      <c r="K213" s="79"/>
      <c r="L213" s="787"/>
      <c r="M213" s="320"/>
      <c r="N213" s="121"/>
      <c r="O213" s="121"/>
      <c r="P213" s="122"/>
      <c r="Q213" s="123"/>
      <c r="R213" s="626"/>
      <c r="S213" s="626"/>
      <c r="T213" s="93"/>
    </row>
    <row r="214" spans="1:23" s="86" customFormat="1" ht="12.75" customHeight="1">
      <c r="A214" s="94"/>
      <c r="B214" s="95"/>
      <c r="C214" s="96"/>
      <c r="D214" s="97"/>
      <c r="E214" s="98"/>
      <c r="F214" s="99"/>
      <c r="G214" s="100"/>
      <c r="H214" s="99"/>
      <c r="I214" s="101"/>
      <c r="J214" s="100"/>
      <c r="K214" s="102"/>
      <c r="L214" s="103"/>
      <c r="M214" s="104"/>
      <c r="N214" s="105"/>
      <c r="O214" s="105"/>
      <c r="P214" s="106"/>
      <c r="Q214" s="92"/>
      <c r="R214" s="626"/>
      <c r="S214" s="626"/>
      <c r="T214" s="93"/>
    </row>
    <row r="215" spans="1:23" s="86" customFormat="1" ht="12.75" customHeight="1">
      <c r="A215" s="72">
        <f>A211+1</f>
        <v>10</v>
      </c>
      <c r="B215" s="124" t="s">
        <v>129</v>
      </c>
      <c r="C215" s="778" t="s">
        <v>252</v>
      </c>
      <c r="D215" s="284" t="s">
        <v>35</v>
      </c>
      <c r="E215" s="625">
        <f>0.8*0.05*14</f>
        <v>0.56000000000000005</v>
      </c>
      <c r="F215" s="109"/>
      <c r="G215" s="89">
        <v>12.6</v>
      </c>
      <c r="H215" s="109"/>
      <c r="I215" s="111"/>
      <c r="J215" s="89">
        <v>2.1</v>
      </c>
      <c r="K215" s="112"/>
      <c r="L215" s="107"/>
      <c r="M215" s="303"/>
      <c r="N215" s="108"/>
      <c r="O215" s="108"/>
      <c r="P215" s="109"/>
      <c r="Q215" s="110"/>
      <c r="R215" s="85">
        <f>G216+J216</f>
        <v>27.416277000000001</v>
      </c>
      <c r="S215" s="782"/>
      <c r="T215" s="784"/>
    </row>
    <row r="216" spans="1:23" s="86" customFormat="1" ht="12" customHeight="1">
      <c r="A216" s="88"/>
      <c r="B216" s="125" t="s">
        <v>130</v>
      </c>
      <c r="C216" s="770"/>
      <c r="D216" s="287"/>
      <c r="E216" s="626"/>
      <c r="F216" s="106"/>
      <c r="G216" s="89">
        <f>G215*$J$13/1000</f>
        <v>21.883175999999999</v>
      </c>
      <c r="H216" s="106"/>
      <c r="I216" s="77"/>
      <c r="J216" s="89">
        <f>J215*$Q$13/1000</f>
        <v>5.5331010000000003</v>
      </c>
      <c r="K216" s="79"/>
      <c r="L216" s="629" t="s">
        <v>131</v>
      </c>
      <c r="M216" s="304" t="s">
        <v>42</v>
      </c>
      <c r="N216" s="117">
        <v>1.96</v>
      </c>
      <c r="O216" s="118">
        <f>E215*N216</f>
        <v>1.0976000000000001</v>
      </c>
      <c r="P216" s="119">
        <v>1.2</v>
      </c>
      <c r="Q216" s="120">
        <f>N216*P216*$N$11</f>
        <v>2.6844897744000003</v>
      </c>
      <c r="R216" s="782">
        <f>SUM(Q216:Q218)</f>
        <v>122.25055720241701</v>
      </c>
      <c r="S216" s="783"/>
      <c r="T216" s="785"/>
    </row>
    <row r="217" spans="1:23" s="86" customFormat="1" ht="12.75" hidden="1" customHeight="1">
      <c r="A217" s="88"/>
      <c r="B217" s="288"/>
      <c r="C217" s="770"/>
      <c r="D217" s="287"/>
      <c r="E217" s="626"/>
      <c r="F217" s="106"/>
      <c r="G217" s="78"/>
      <c r="H217" s="106"/>
      <c r="I217" s="77"/>
      <c r="J217" s="78"/>
      <c r="K217" s="79"/>
      <c r="L217" s="305" t="s">
        <v>132</v>
      </c>
      <c r="M217" s="306" t="s">
        <v>42</v>
      </c>
      <c r="N217" s="307">
        <v>7.2</v>
      </c>
      <c r="O217" s="308">
        <f>E215*N217</f>
        <v>4.0320000000000009</v>
      </c>
      <c r="P217" s="309">
        <v>0.38</v>
      </c>
      <c r="Q217" s="310">
        <f>N217*P217*$N$11</f>
        <v>3.1227738192000007</v>
      </c>
      <c r="R217" s="783"/>
      <c r="S217" s="783"/>
      <c r="T217" s="785"/>
    </row>
    <row r="218" spans="1:23" s="86" customFormat="1" ht="12.75" hidden="1" customHeight="1">
      <c r="A218" s="88"/>
      <c r="B218" s="288"/>
      <c r="C218" s="770"/>
      <c r="D218" s="287"/>
      <c r="E218" s="626"/>
      <c r="F218" s="106"/>
      <c r="G218" s="78"/>
      <c r="H218" s="106"/>
      <c r="I218" s="77"/>
      <c r="J218" s="78"/>
      <c r="K218" s="79"/>
      <c r="L218" s="311" t="s">
        <v>41</v>
      </c>
      <c r="M218" s="312" t="s">
        <v>35</v>
      </c>
      <c r="N218" s="313">
        <v>0.83</v>
      </c>
      <c r="O218" s="314">
        <f>E215*N218</f>
        <v>0.46480000000000005</v>
      </c>
      <c r="P218" s="270">
        <v>122.917</v>
      </c>
      <c r="Q218" s="315">
        <f>N218*P218*$N$11</f>
        <v>116.44329360881702</v>
      </c>
      <c r="R218" s="783"/>
      <c r="S218" s="783"/>
      <c r="T218" s="785"/>
    </row>
    <row r="219" spans="1:23" s="86" customFormat="1" ht="12.75" customHeight="1">
      <c r="A219" s="94"/>
      <c r="B219" s="95"/>
      <c r="C219" s="96"/>
      <c r="D219" s="97"/>
      <c r="E219" s="98"/>
      <c r="F219" s="99"/>
      <c r="G219" s="100"/>
      <c r="H219" s="99"/>
      <c r="I219" s="101"/>
      <c r="J219" s="100"/>
      <c r="K219" s="102"/>
      <c r="L219" s="113"/>
      <c r="M219" s="239"/>
      <c r="N219" s="114"/>
      <c r="O219" s="114"/>
      <c r="P219" s="106"/>
      <c r="Q219" s="92"/>
      <c r="R219" s="626"/>
      <c r="S219" s="626"/>
      <c r="T219" s="93"/>
    </row>
    <row r="220" spans="1:23" ht="12.75" customHeight="1">
      <c r="A220" s="72">
        <f>A215+1</f>
        <v>11</v>
      </c>
      <c r="B220" s="52" t="s">
        <v>63</v>
      </c>
      <c r="C220" s="734" t="s">
        <v>133</v>
      </c>
      <c r="D220" s="53" t="s">
        <v>45</v>
      </c>
      <c r="E220" s="611">
        <f>0.8/100*14</f>
        <v>0.112</v>
      </c>
      <c r="F220" s="8"/>
      <c r="G220" s="9">
        <v>38.4</v>
      </c>
      <c r="H220" s="8"/>
      <c r="I220" s="22"/>
      <c r="J220" s="42">
        <v>0.03</v>
      </c>
      <c r="K220" s="23"/>
      <c r="O220" s="40"/>
      <c r="P220" s="44"/>
      <c r="Q220" s="166"/>
      <c r="R220" s="18">
        <f>G221+J221</f>
        <v>66.770628300000013</v>
      </c>
      <c r="S220" s="735"/>
      <c r="T220" s="737"/>
      <c r="U220" s="19"/>
      <c r="V220" s="19"/>
      <c r="W220" s="19"/>
    </row>
    <row r="221" spans="1:23" ht="10.5" customHeight="1">
      <c r="A221" s="21"/>
      <c r="B221" s="52" t="s">
        <v>64</v>
      </c>
      <c r="C221" s="734"/>
      <c r="D221" s="53"/>
      <c r="E221" s="611"/>
      <c r="F221" s="8"/>
      <c r="G221" s="89">
        <f>G220*$J$13/1000</f>
        <v>66.691584000000006</v>
      </c>
      <c r="H221" s="75"/>
      <c r="I221" s="77"/>
      <c r="J221" s="89">
        <f>J220*$Q$13/1000</f>
        <v>7.9044299999999998E-2</v>
      </c>
      <c r="K221" s="23"/>
      <c r="L221" s="273" t="s">
        <v>134</v>
      </c>
      <c r="M221" s="274" t="s">
        <v>42</v>
      </c>
      <c r="N221" s="275">
        <v>27.3</v>
      </c>
      <c r="O221" s="276">
        <f>E220*N221</f>
        <v>3.0576000000000003</v>
      </c>
      <c r="P221" s="277">
        <v>1.2</v>
      </c>
      <c r="Q221" s="120">
        <f>N221*P221*$N$11</f>
        <v>37.391107572000003</v>
      </c>
      <c r="R221" s="611">
        <f>SUM(Q221:Q221)</f>
        <v>37.391107572000003</v>
      </c>
      <c r="S221" s="736"/>
      <c r="T221" s="738"/>
      <c r="U221" s="19"/>
      <c r="V221" s="19"/>
      <c r="W221" s="19"/>
    </row>
    <row r="222" spans="1:23" ht="12.75" hidden="1" customHeight="1">
      <c r="A222" s="21"/>
      <c r="B222" s="19"/>
      <c r="C222" s="734"/>
      <c r="D222" s="53"/>
      <c r="E222" s="611"/>
      <c r="F222" s="8"/>
      <c r="G222" s="9"/>
      <c r="H222" s="8"/>
      <c r="I222" s="22"/>
      <c r="K222" s="23"/>
      <c r="L222" s="24"/>
      <c r="M222" s="25"/>
      <c r="N222" s="26"/>
      <c r="O222" s="26"/>
      <c r="P222" s="8"/>
      <c r="Q222" s="27"/>
      <c r="R222" s="611"/>
      <c r="S222" s="611"/>
      <c r="T222" s="28"/>
      <c r="U222" s="19"/>
      <c r="V222" s="19"/>
      <c r="W222" s="19"/>
    </row>
    <row r="223" spans="1:23" ht="12.75" hidden="1" customHeight="1">
      <c r="A223" s="21"/>
      <c r="B223" s="19"/>
      <c r="C223" s="734"/>
      <c r="D223" s="53"/>
      <c r="E223" s="611"/>
      <c r="F223" s="8"/>
      <c r="G223" s="9"/>
      <c r="H223" s="8"/>
      <c r="I223" s="22"/>
      <c r="K223" s="23"/>
      <c r="L223" s="24"/>
      <c r="M223" s="25"/>
      <c r="N223" s="26"/>
      <c r="O223" s="26"/>
      <c r="P223" s="8"/>
      <c r="Q223" s="27"/>
      <c r="R223" s="611"/>
      <c r="S223" s="611"/>
      <c r="T223" s="28"/>
      <c r="U223" s="19"/>
      <c r="V223" s="19"/>
      <c r="W223" s="19"/>
    </row>
    <row r="224" spans="1:23" ht="12.75" customHeight="1">
      <c r="A224" s="29"/>
      <c r="B224" s="30"/>
      <c r="C224" s="31"/>
      <c r="D224" s="32"/>
      <c r="E224" s="33"/>
      <c r="F224" s="34"/>
      <c r="G224" s="35"/>
      <c r="H224" s="34"/>
      <c r="I224" s="36"/>
      <c r="J224" s="35"/>
      <c r="K224" s="37"/>
      <c r="L224" s="46"/>
      <c r="M224" s="47"/>
      <c r="N224" s="50"/>
      <c r="O224" s="50"/>
      <c r="P224" s="34"/>
      <c r="Q224" s="48"/>
      <c r="R224" s="33"/>
      <c r="S224" s="33"/>
      <c r="T224" s="28"/>
      <c r="U224" s="19"/>
      <c r="V224" s="19"/>
      <c r="W224" s="19"/>
    </row>
    <row r="225" spans="1:23" ht="12.75" customHeight="1">
      <c r="A225" s="72">
        <f>A220+1</f>
        <v>12</v>
      </c>
      <c r="B225" s="52" t="s">
        <v>63</v>
      </c>
      <c r="C225" s="734" t="s">
        <v>140</v>
      </c>
      <c r="D225" s="53" t="s">
        <v>45</v>
      </c>
      <c r="E225" s="611">
        <f>3.5/100*14</f>
        <v>0.49000000000000005</v>
      </c>
      <c r="F225" s="8"/>
      <c r="G225" s="9">
        <v>38.4</v>
      </c>
      <c r="H225" s="8"/>
      <c r="I225" s="22"/>
      <c r="J225" s="42">
        <v>0.03</v>
      </c>
      <c r="K225" s="23"/>
      <c r="O225" s="40"/>
      <c r="Q225" s="27"/>
      <c r="R225" s="33">
        <f>G226+J226</f>
        <v>66.770628300000013</v>
      </c>
      <c r="S225" s="735"/>
      <c r="T225" s="737"/>
      <c r="U225" s="19"/>
      <c r="V225" s="19"/>
      <c r="W225" s="19"/>
    </row>
    <row r="226" spans="1:23" ht="11.25" customHeight="1">
      <c r="A226" s="21"/>
      <c r="B226" s="52" t="s">
        <v>64</v>
      </c>
      <c r="C226" s="734"/>
      <c r="D226" s="53"/>
      <c r="E226" s="611"/>
      <c r="F226" s="8"/>
      <c r="G226" s="89">
        <f>G225*$J$13/1000</f>
        <v>66.691584000000006</v>
      </c>
      <c r="H226" s="75"/>
      <c r="I226" s="77"/>
      <c r="J226" s="89">
        <f>J225*$Q$13/1000</f>
        <v>7.9044299999999998E-2</v>
      </c>
      <c r="K226" s="23"/>
      <c r="L226" s="273" t="s">
        <v>49</v>
      </c>
      <c r="M226" s="274" t="s">
        <v>42</v>
      </c>
      <c r="N226" s="275">
        <v>27.3</v>
      </c>
      <c r="O226" s="276">
        <f>E225*N226</f>
        <v>13.377000000000002</v>
      </c>
      <c r="P226" s="277">
        <v>1.02</v>
      </c>
      <c r="Q226" s="120">
        <f>N226*P226*$N$11</f>
        <v>31.782441436200006</v>
      </c>
      <c r="R226" s="611">
        <f>SUM(Q226:Q226)</f>
        <v>31.782441436200006</v>
      </c>
      <c r="S226" s="736"/>
      <c r="T226" s="738"/>
      <c r="U226" s="19"/>
      <c r="V226" s="19"/>
      <c r="W226" s="19"/>
    </row>
    <row r="227" spans="1:23" ht="12.75" hidden="1" customHeight="1">
      <c r="A227" s="21"/>
      <c r="B227" s="19"/>
      <c r="C227" s="734"/>
      <c r="D227" s="53"/>
      <c r="E227" s="611"/>
      <c r="F227" s="8"/>
      <c r="G227" s="9"/>
      <c r="H227" s="8"/>
      <c r="I227" s="22"/>
      <c r="K227" s="23"/>
      <c r="L227" s="24"/>
      <c r="M227" s="25"/>
      <c r="N227" s="26"/>
      <c r="O227" s="26"/>
      <c r="P227" s="8"/>
      <c r="Q227" s="27"/>
      <c r="R227" s="611"/>
      <c r="S227" s="611"/>
      <c r="T227" s="28"/>
      <c r="U227" s="19"/>
      <c r="V227" s="19"/>
      <c r="W227" s="19"/>
    </row>
    <row r="228" spans="1:23" ht="12.75" hidden="1" customHeight="1">
      <c r="A228" s="21"/>
      <c r="B228" s="19"/>
      <c r="C228" s="734"/>
      <c r="D228" s="53"/>
      <c r="E228" s="611"/>
      <c r="F228" s="8"/>
      <c r="G228" s="9"/>
      <c r="H228" s="8"/>
      <c r="I228" s="22"/>
      <c r="K228" s="23"/>
      <c r="L228" s="24"/>
      <c r="M228" s="25"/>
      <c r="N228" s="26"/>
      <c r="O228" s="26"/>
      <c r="P228" s="8"/>
      <c r="Q228" s="27"/>
      <c r="R228" s="611"/>
      <c r="S228" s="611"/>
      <c r="T228" s="28"/>
      <c r="U228" s="19"/>
      <c r="V228" s="19"/>
      <c r="W228" s="19"/>
    </row>
    <row r="229" spans="1:23" ht="12.75" customHeight="1" thickBot="1">
      <c r="A229" s="21"/>
      <c r="C229" s="661"/>
      <c r="E229" s="650"/>
      <c r="I229" s="22"/>
      <c r="K229" s="23"/>
      <c r="O229" s="40"/>
      <c r="Q229" s="27"/>
      <c r="R229" s="611"/>
      <c r="S229" s="611"/>
      <c r="T229" s="28"/>
      <c r="U229" s="19"/>
      <c r="V229" s="19"/>
      <c r="W229" s="19"/>
    </row>
    <row r="230" spans="1:23" ht="12.75" customHeight="1">
      <c r="A230" s="666"/>
      <c r="B230" s="667"/>
      <c r="C230" s="812" t="s">
        <v>233</v>
      </c>
      <c r="D230" s="668"/>
      <c r="E230" s="669"/>
      <c r="F230" s="670"/>
      <c r="G230" s="671"/>
      <c r="H230" s="670"/>
      <c r="I230" s="670"/>
      <c r="J230" s="671"/>
      <c r="K230" s="670"/>
      <c r="L230" s="672"/>
      <c r="M230" s="673"/>
      <c r="N230" s="674"/>
      <c r="O230" s="669"/>
      <c r="P230" s="670"/>
      <c r="Q230" s="671"/>
      <c r="R230" s="669"/>
      <c r="S230" s="669"/>
      <c r="T230" s="707">
        <v>9.6199999999999994E-2</v>
      </c>
    </row>
    <row r="231" spans="1:23" ht="12.75" customHeight="1" thickBot="1">
      <c r="A231" s="675"/>
      <c r="B231" s="676"/>
      <c r="C231" s="813"/>
      <c r="D231" s="677"/>
      <c r="E231" s="678"/>
      <c r="F231" s="679"/>
      <c r="G231" s="680"/>
      <c r="H231" s="679"/>
      <c r="I231" s="679"/>
      <c r="J231" s="680"/>
      <c r="K231" s="679"/>
      <c r="L231" s="681"/>
      <c r="M231" s="682"/>
      <c r="N231" s="683"/>
      <c r="O231" s="678"/>
      <c r="P231" s="679"/>
      <c r="Q231" s="680"/>
      <c r="R231" s="678"/>
      <c r="S231" s="678"/>
      <c r="T231" s="708"/>
    </row>
    <row r="232" spans="1:23" ht="12.75" customHeight="1">
      <c r="A232" s="662" t="e">
        <f>#REF!+1</f>
        <v>#REF!</v>
      </c>
      <c r="B232" s="459" t="s">
        <v>51</v>
      </c>
      <c r="C232" s="798" t="s">
        <v>168</v>
      </c>
      <c r="D232" s="460" t="s">
        <v>31</v>
      </c>
      <c r="E232" s="663">
        <f>3.4/100</f>
        <v>3.4000000000000002E-2</v>
      </c>
      <c r="F232" s="462"/>
      <c r="G232" s="664">
        <v>82.6</v>
      </c>
      <c r="H232" s="462"/>
      <c r="I232" s="464"/>
      <c r="J232" s="664">
        <v>78.400000000000006</v>
      </c>
      <c r="K232" s="465"/>
      <c r="L232" s="480"/>
      <c r="M232" s="481"/>
      <c r="N232" s="482"/>
      <c r="O232" s="482"/>
      <c r="P232" s="476"/>
      <c r="Q232" s="483"/>
      <c r="R232" s="475">
        <f>G233+J233</f>
        <v>350.02548000000002</v>
      </c>
      <c r="S232" s="461"/>
      <c r="T232" s="665"/>
    </row>
    <row r="233" spans="1:23" ht="12.75" customHeight="1">
      <c r="A233" s="458"/>
      <c r="B233" s="459"/>
      <c r="C233" s="798"/>
      <c r="D233" s="460"/>
      <c r="E233" s="461"/>
      <c r="F233" s="462"/>
      <c r="G233" s="463">
        <f>G232*$J$13/1000</f>
        <v>143.45637599999998</v>
      </c>
      <c r="H233" s="462"/>
      <c r="I233" s="464"/>
      <c r="J233" s="463">
        <f>J232*$Q$13/1000</f>
        <v>206.56910400000001</v>
      </c>
      <c r="K233" s="465"/>
      <c r="L233" s="466"/>
      <c r="M233" s="467"/>
      <c r="N233" s="468"/>
      <c r="O233" s="468"/>
      <c r="P233" s="462"/>
      <c r="Q233" s="469"/>
      <c r="R233" s="461"/>
      <c r="S233" s="461"/>
      <c r="T233" s="470"/>
    </row>
    <row r="234" spans="1:23" ht="12.75" customHeight="1">
      <c r="A234" s="471"/>
      <c r="B234" s="472"/>
      <c r="C234" s="473"/>
      <c r="D234" s="474"/>
      <c r="E234" s="475"/>
      <c r="F234" s="476"/>
      <c r="G234" s="477"/>
      <c r="H234" s="476"/>
      <c r="I234" s="478"/>
      <c r="J234" s="477"/>
      <c r="K234" s="479"/>
      <c r="L234" s="480"/>
      <c r="M234" s="481"/>
      <c r="N234" s="482"/>
      <c r="O234" s="482"/>
      <c r="P234" s="476"/>
      <c r="Q234" s="483"/>
      <c r="R234" s="475"/>
      <c r="S234" s="475"/>
      <c r="T234" s="484"/>
    </row>
    <row r="235" spans="1:23" ht="12.75" customHeight="1">
      <c r="A235" s="485" t="e">
        <f>A232+1</f>
        <v>#REF!</v>
      </c>
      <c r="B235" s="645" t="s">
        <v>141</v>
      </c>
      <c r="C235" s="799" t="s">
        <v>142</v>
      </c>
      <c r="D235" s="486" t="s">
        <v>31</v>
      </c>
      <c r="E235" s="432">
        <f>22/100</f>
        <v>0.22</v>
      </c>
      <c r="F235" s="327"/>
      <c r="G235" s="328">
        <v>12.1</v>
      </c>
      <c r="H235" s="327"/>
      <c r="I235" s="329"/>
      <c r="J235" s="419">
        <v>0</v>
      </c>
      <c r="K235" s="330"/>
      <c r="L235" s="331"/>
      <c r="M235" s="487"/>
      <c r="N235" s="333"/>
      <c r="O235" s="333"/>
      <c r="P235" s="335"/>
      <c r="Q235" s="336"/>
      <c r="R235" s="337">
        <f>G236+J236</f>
        <v>21.014795999999997</v>
      </c>
      <c r="S235" s="457"/>
      <c r="T235" s="641"/>
    </row>
    <row r="236" spans="1:23" ht="12.75" customHeight="1">
      <c r="A236" s="488"/>
      <c r="B236" s="645" t="s">
        <v>143</v>
      </c>
      <c r="C236" s="800"/>
      <c r="D236" s="486"/>
      <c r="E236" s="640"/>
      <c r="F236" s="327"/>
      <c r="G236" s="359">
        <f>G235*$J$13/1000</f>
        <v>21.014795999999997</v>
      </c>
      <c r="H236" s="327"/>
      <c r="I236" s="329"/>
      <c r="J236" s="340">
        <f>J235*$Q$6/1000</f>
        <v>0</v>
      </c>
      <c r="K236" s="330"/>
      <c r="L236" s="341"/>
      <c r="M236" s="489"/>
      <c r="N236" s="343"/>
      <c r="O236" s="343"/>
      <c r="P236" s="327"/>
      <c r="Q236" s="345"/>
      <c r="R236" s="640"/>
      <c r="S236" s="640"/>
      <c r="T236" s="346"/>
    </row>
    <row r="237" spans="1:23" ht="12.75" customHeight="1">
      <c r="A237" s="490"/>
      <c r="B237" s="491"/>
      <c r="C237" s="492"/>
      <c r="D237" s="493"/>
      <c r="E237" s="350"/>
      <c r="F237" s="351"/>
      <c r="G237" s="352"/>
      <c r="H237" s="351"/>
      <c r="I237" s="353"/>
      <c r="J237" s="352"/>
      <c r="K237" s="354"/>
      <c r="L237" s="494"/>
      <c r="M237" s="495"/>
      <c r="N237" s="496"/>
      <c r="O237" s="496"/>
      <c r="P237" s="374"/>
      <c r="Q237" s="345"/>
      <c r="R237" s="640"/>
      <c r="S237" s="640"/>
      <c r="T237" s="346"/>
    </row>
    <row r="238" spans="1:23" ht="12">
      <c r="A238" s="497" t="e">
        <f>A235+1</f>
        <v>#REF!</v>
      </c>
      <c r="B238" s="498" t="s">
        <v>144</v>
      </c>
      <c r="C238" s="789" t="s">
        <v>169</v>
      </c>
      <c r="D238" s="499" t="s">
        <v>35</v>
      </c>
      <c r="E238" s="632">
        <v>7.4</v>
      </c>
      <c r="F238" s="500"/>
      <c r="G238" s="501">
        <v>0.89</v>
      </c>
      <c r="H238" s="500"/>
      <c r="I238" s="502"/>
      <c r="J238" s="503">
        <v>0</v>
      </c>
      <c r="K238" s="375"/>
      <c r="L238" s="504"/>
      <c r="M238" s="505"/>
      <c r="N238" s="506"/>
      <c r="O238" s="506"/>
      <c r="P238" s="358"/>
      <c r="Q238" s="507"/>
      <c r="R238" s="368">
        <f>G239+J239</f>
        <v>1.5457164000000001</v>
      </c>
      <c r="S238" s="794"/>
      <c r="T238" s="801"/>
    </row>
    <row r="239" spans="1:23" ht="12">
      <c r="A239" s="370"/>
      <c r="B239" s="498"/>
      <c r="C239" s="790"/>
      <c r="D239" s="499"/>
      <c r="E239" s="632"/>
      <c r="F239" s="500"/>
      <c r="G239" s="359">
        <f>G238*$J$13/1000</f>
        <v>1.5457164000000001</v>
      </c>
      <c r="H239" s="500"/>
      <c r="I239" s="502"/>
      <c r="J239" s="359">
        <f>J238*$Q$13/1000</f>
        <v>0</v>
      </c>
      <c r="K239" s="375"/>
      <c r="L239" s="508" t="s">
        <v>145</v>
      </c>
      <c r="M239" s="509" t="s">
        <v>35</v>
      </c>
      <c r="N239" s="510">
        <v>1.1000000000000001</v>
      </c>
      <c r="O239" s="511">
        <f>E238*N239</f>
        <v>8.14</v>
      </c>
      <c r="P239" s="512">
        <v>2</v>
      </c>
      <c r="Q239" s="513">
        <f>N239*P239*$N$11</f>
        <v>2.5110023400000006</v>
      </c>
      <c r="R239" s="632">
        <f>SUM(Q239:Q239)</f>
        <v>2.5110023400000006</v>
      </c>
      <c r="S239" s="795"/>
      <c r="T239" s="802"/>
    </row>
    <row r="240" spans="1:23" ht="0.75" customHeight="1">
      <c r="A240" s="370"/>
      <c r="B240" s="369"/>
      <c r="C240" s="790"/>
      <c r="D240" s="499"/>
      <c r="E240" s="632"/>
      <c r="F240" s="500"/>
      <c r="G240" s="501"/>
      <c r="H240" s="500"/>
      <c r="I240" s="502"/>
      <c r="J240" s="503"/>
      <c r="K240" s="375"/>
      <c r="L240" s="514"/>
      <c r="M240" s="515"/>
      <c r="N240" s="516"/>
      <c r="O240" s="516"/>
      <c r="P240" s="500"/>
      <c r="Q240" s="517"/>
      <c r="R240" s="632"/>
      <c r="S240" s="632"/>
      <c r="T240" s="518"/>
    </row>
    <row r="241" spans="1:20" ht="12" hidden="1">
      <c r="A241" s="370"/>
      <c r="B241" s="369"/>
      <c r="C241" s="790"/>
      <c r="D241" s="499"/>
      <c r="E241" s="632"/>
      <c r="F241" s="500"/>
      <c r="G241" s="501"/>
      <c r="H241" s="500"/>
      <c r="I241" s="502"/>
      <c r="J241" s="503"/>
      <c r="K241" s="375"/>
      <c r="L241" s="514"/>
      <c r="M241" s="515"/>
      <c r="N241" s="516"/>
      <c r="O241" s="516"/>
      <c r="P241" s="500"/>
      <c r="Q241" s="517"/>
      <c r="R241" s="632"/>
      <c r="S241" s="632"/>
      <c r="T241" s="518"/>
    </row>
    <row r="242" spans="1:20" ht="12" hidden="1">
      <c r="A242" s="370"/>
      <c r="B242" s="369"/>
      <c r="C242" s="790"/>
      <c r="D242" s="499"/>
      <c r="E242" s="632"/>
      <c r="F242" s="500"/>
      <c r="G242" s="501"/>
      <c r="H242" s="500"/>
      <c r="I242" s="502"/>
      <c r="J242" s="503"/>
      <c r="K242" s="375"/>
      <c r="L242" s="514"/>
      <c r="M242" s="515"/>
      <c r="N242" s="516"/>
      <c r="O242" s="516"/>
      <c r="P242" s="500"/>
      <c r="Q242" s="517"/>
      <c r="R242" s="632"/>
      <c r="S242" s="632"/>
      <c r="T242" s="518"/>
    </row>
    <row r="243" spans="1:20" ht="15">
      <c r="A243" s="380"/>
      <c r="B243" s="381"/>
      <c r="C243" s="382"/>
      <c r="D243" s="383"/>
      <c r="E243" s="384"/>
      <c r="F243" s="385"/>
      <c r="G243" s="386"/>
      <c r="H243" s="385"/>
      <c r="I243" s="387"/>
      <c r="J243" s="386"/>
      <c r="K243" s="388"/>
      <c r="L243" s="519"/>
      <c r="M243" s="520"/>
      <c r="N243" s="521"/>
      <c r="O243" s="521"/>
      <c r="P243" s="373"/>
      <c r="Q243" s="517"/>
      <c r="R243" s="632"/>
      <c r="S243" s="632"/>
      <c r="T243" s="518"/>
    </row>
    <row r="244" spans="1:20" ht="15" customHeight="1">
      <c r="A244" s="497" t="e">
        <f>A238+1</f>
        <v>#REF!</v>
      </c>
      <c r="B244" s="371" t="s">
        <v>146</v>
      </c>
      <c r="C244" s="789" t="s">
        <v>147</v>
      </c>
      <c r="D244" s="372" t="s">
        <v>148</v>
      </c>
      <c r="E244" s="522">
        <f>14.6/1000</f>
        <v>1.46E-2</v>
      </c>
      <c r="F244" s="373"/>
      <c r="G244" s="503">
        <v>0</v>
      </c>
      <c r="H244" s="373"/>
      <c r="I244" s="502"/>
      <c r="J244" s="503">
        <v>14</v>
      </c>
      <c r="K244" s="375"/>
      <c r="L244" s="523"/>
      <c r="M244" s="363"/>
      <c r="N244" s="524"/>
      <c r="O244" s="525"/>
      <c r="P244" s="366"/>
      <c r="Q244" s="367"/>
      <c r="R244" s="368">
        <f>G245+J245</f>
        <v>36.887339999999995</v>
      </c>
      <c r="S244" s="794"/>
      <c r="T244" s="633"/>
    </row>
    <row r="245" spans="1:20" ht="10.5" customHeight="1">
      <c r="A245" s="370"/>
      <c r="B245" s="371" t="s">
        <v>149</v>
      </c>
      <c r="C245" s="790"/>
      <c r="D245" s="372"/>
      <c r="E245" s="632"/>
      <c r="F245" s="373"/>
      <c r="G245" s="359">
        <f>G244*$J$13/1000</f>
        <v>0</v>
      </c>
      <c r="H245" s="373"/>
      <c r="I245" s="502"/>
      <c r="J245" s="359">
        <f>J244*$Q$13/1000</f>
        <v>36.887339999999995</v>
      </c>
      <c r="K245" s="375"/>
      <c r="L245" s="519"/>
      <c r="M245" s="520"/>
      <c r="N245" s="521"/>
      <c r="O245" s="526"/>
      <c r="P245" s="373"/>
      <c r="Q245" s="517"/>
      <c r="R245" s="632"/>
      <c r="S245" s="795"/>
      <c r="T245" s="518"/>
    </row>
    <row r="246" spans="1:20" ht="12" hidden="1">
      <c r="A246" s="370"/>
      <c r="B246" s="527"/>
      <c r="C246" s="790"/>
      <c r="D246" s="372"/>
      <c r="E246" s="632"/>
      <c r="F246" s="373"/>
      <c r="G246" s="503"/>
      <c r="H246" s="373"/>
      <c r="I246" s="502"/>
      <c r="J246" s="503"/>
      <c r="K246" s="375"/>
      <c r="L246" s="519"/>
      <c r="M246" s="520"/>
      <c r="N246" s="521"/>
      <c r="O246" s="526"/>
      <c r="P246" s="373"/>
      <c r="Q246" s="517"/>
      <c r="R246" s="632"/>
      <c r="S246" s="632"/>
      <c r="T246" s="518"/>
    </row>
    <row r="247" spans="1:20" ht="15">
      <c r="A247" s="380"/>
      <c r="B247" s="381"/>
      <c r="C247" s="382"/>
      <c r="D247" s="383"/>
      <c r="E247" s="384"/>
      <c r="F247" s="385"/>
      <c r="G247" s="386"/>
      <c r="H247" s="385"/>
      <c r="I247" s="387"/>
      <c r="J247" s="386"/>
      <c r="K247" s="388"/>
      <c r="L247" s="519"/>
      <c r="M247" s="520"/>
      <c r="N247" s="521"/>
      <c r="O247" s="526"/>
      <c r="P247" s="373"/>
      <c r="Q247" s="517"/>
      <c r="R247" s="632"/>
      <c r="S247" s="632"/>
      <c r="T247" s="518"/>
    </row>
    <row r="248" spans="1:20" ht="12.75" customHeight="1">
      <c r="A248" s="497" t="e">
        <f>A244+1</f>
        <v>#REF!</v>
      </c>
      <c r="B248" s="498" t="s">
        <v>150</v>
      </c>
      <c r="C248" s="789" t="s">
        <v>151</v>
      </c>
      <c r="D248" s="499" t="s">
        <v>148</v>
      </c>
      <c r="E248" s="522">
        <f>7.4/1000</f>
        <v>7.4000000000000003E-3</v>
      </c>
      <c r="F248" s="500"/>
      <c r="G248" s="501">
        <v>6.77</v>
      </c>
      <c r="H248" s="500"/>
      <c r="I248" s="502"/>
      <c r="J248" s="503">
        <v>164.23</v>
      </c>
      <c r="K248" s="375"/>
      <c r="L248" s="523"/>
      <c r="M248" s="363"/>
      <c r="N248" s="524"/>
      <c r="O248" s="524"/>
      <c r="P248" s="366"/>
      <c r="Q248" s="367"/>
      <c r="R248" s="368">
        <f>G249+J249</f>
        <v>444.47271149999995</v>
      </c>
      <c r="S248" s="794"/>
      <c r="T248" s="633"/>
    </row>
    <row r="249" spans="1:20" ht="12">
      <c r="A249" s="370"/>
      <c r="B249" s="498"/>
      <c r="C249" s="790"/>
      <c r="D249" s="499"/>
      <c r="E249" s="632"/>
      <c r="F249" s="500"/>
      <c r="G249" s="359">
        <f>G248*$J$13/1000</f>
        <v>11.757865199999998</v>
      </c>
      <c r="H249" s="500"/>
      <c r="I249" s="502"/>
      <c r="J249" s="359">
        <f>J248*$Q$13/1000</f>
        <v>432.71484629999998</v>
      </c>
      <c r="K249" s="375"/>
      <c r="L249" s="514"/>
      <c r="M249" s="515"/>
      <c r="N249" s="516"/>
      <c r="O249" s="516"/>
      <c r="P249" s="500"/>
      <c r="Q249" s="517"/>
      <c r="R249" s="632"/>
      <c r="S249" s="795"/>
      <c r="T249" s="518"/>
    </row>
    <row r="250" spans="1:20" ht="12" hidden="1">
      <c r="A250" s="370"/>
      <c r="B250" s="369"/>
      <c r="C250" s="790"/>
      <c r="D250" s="499"/>
      <c r="E250" s="632"/>
      <c r="F250" s="500"/>
      <c r="G250" s="501"/>
      <c r="H250" s="500"/>
      <c r="I250" s="502"/>
      <c r="J250" s="503"/>
      <c r="K250" s="375"/>
      <c r="L250" s="514"/>
      <c r="M250" s="515"/>
      <c r="N250" s="516"/>
      <c r="O250" s="516"/>
      <c r="P250" s="500"/>
      <c r="Q250" s="517"/>
      <c r="R250" s="632"/>
      <c r="S250" s="632"/>
      <c r="T250" s="518"/>
    </row>
    <row r="251" spans="1:20" ht="12" hidden="1">
      <c r="A251" s="370"/>
      <c r="B251" s="369"/>
      <c r="C251" s="790"/>
      <c r="D251" s="499"/>
      <c r="E251" s="632"/>
      <c r="F251" s="500"/>
      <c r="G251" s="501"/>
      <c r="H251" s="500"/>
      <c r="I251" s="502"/>
      <c r="J251" s="503"/>
      <c r="K251" s="375"/>
      <c r="L251" s="514"/>
      <c r="M251" s="515"/>
      <c r="N251" s="516"/>
      <c r="O251" s="516"/>
      <c r="P251" s="500"/>
      <c r="Q251" s="517"/>
      <c r="R251" s="632"/>
      <c r="S251" s="632"/>
      <c r="T251" s="518"/>
    </row>
    <row r="252" spans="1:20" ht="12" hidden="1">
      <c r="A252" s="370"/>
      <c r="B252" s="369"/>
      <c r="C252" s="790"/>
      <c r="D252" s="499"/>
      <c r="E252" s="632"/>
      <c r="F252" s="500"/>
      <c r="G252" s="501"/>
      <c r="H252" s="500"/>
      <c r="I252" s="502"/>
      <c r="J252" s="503"/>
      <c r="K252" s="375"/>
      <c r="L252" s="514"/>
      <c r="M252" s="515"/>
      <c r="N252" s="516"/>
      <c r="O252" s="516"/>
      <c r="P252" s="500"/>
      <c r="Q252" s="517"/>
      <c r="R252" s="632"/>
      <c r="S252" s="632"/>
      <c r="T252" s="518"/>
    </row>
    <row r="253" spans="1:20" ht="12.75" customHeight="1">
      <c r="A253" s="380"/>
      <c r="B253" s="381"/>
      <c r="C253" s="382"/>
      <c r="D253" s="383"/>
      <c r="E253" s="384"/>
      <c r="F253" s="385"/>
      <c r="G253" s="386"/>
      <c r="H253" s="385"/>
      <c r="I253" s="387"/>
      <c r="J253" s="386"/>
      <c r="K253" s="388"/>
      <c r="L253" s="519"/>
      <c r="M253" s="520"/>
      <c r="N253" s="521"/>
      <c r="O253" s="521"/>
      <c r="P253" s="373"/>
      <c r="Q253" s="517"/>
      <c r="R253" s="632"/>
      <c r="S253" s="632"/>
      <c r="T253" s="518"/>
    </row>
    <row r="254" spans="1:20" ht="12">
      <c r="A254" s="497" t="e">
        <f>A248+1</f>
        <v>#REF!</v>
      </c>
      <c r="B254" s="371" t="s">
        <v>152</v>
      </c>
      <c r="C254" s="789" t="s">
        <v>153</v>
      </c>
      <c r="D254" s="372" t="s">
        <v>33</v>
      </c>
      <c r="E254" s="632">
        <f>E248*1000*1.6</f>
        <v>11.840000000000002</v>
      </c>
      <c r="F254" s="373"/>
      <c r="G254" s="503">
        <v>0</v>
      </c>
      <c r="H254" s="373"/>
      <c r="I254" s="502"/>
      <c r="J254" s="503">
        <v>0.33</v>
      </c>
      <c r="K254" s="375"/>
      <c r="L254" s="523"/>
      <c r="M254" s="363"/>
      <c r="N254" s="524"/>
      <c r="O254" s="525"/>
      <c r="P254" s="366"/>
      <c r="Q254" s="367"/>
      <c r="R254" s="368">
        <f>G255+J255</f>
        <v>0.86948729999999996</v>
      </c>
      <c r="S254" s="794"/>
      <c r="T254" s="633"/>
    </row>
    <row r="255" spans="1:20" ht="12">
      <c r="A255" s="380"/>
      <c r="B255" s="381"/>
      <c r="C255" s="791"/>
      <c r="D255" s="383"/>
      <c r="E255" s="384"/>
      <c r="F255" s="385"/>
      <c r="G255" s="528">
        <f>G254*$J$13/1000</f>
        <v>0</v>
      </c>
      <c r="H255" s="385"/>
      <c r="I255" s="387"/>
      <c r="J255" s="528">
        <f>J254*$Q$13/1000</f>
        <v>0.86948729999999996</v>
      </c>
      <c r="K255" s="388"/>
      <c r="L255" s="519"/>
      <c r="M255" s="520"/>
      <c r="N255" s="521"/>
      <c r="O255" s="526"/>
      <c r="P255" s="373"/>
      <c r="Q255" s="517"/>
      <c r="R255" s="632"/>
      <c r="S255" s="795"/>
      <c r="T255" s="518"/>
    </row>
    <row r="256" spans="1:20" ht="11.25" customHeight="1">
      <c r="A256" s="529" t="e">
        <f>A254+1</f>
        <v>#REF!</v>
      </c>
      <c r="B256" s="637" t="s">
        <v>110</v>
      </c>
      <c r="C256" s="792" t="s">
        <v>170</v>
      </c>
      <c r="D256" s="530" t="s">
        <v>35</v>
      </c>
      <c r="E256" s="635">
        <v>0.34</v>
      </c>
      <c r="F256" s="531"/>
      <c r="G256" s="463">
        <v>0.11</v>
      </c>
      <c r="H256" s="531"/>
      <c r="I256" s="532"/>
      <c r="J256" s="463">
        <v>0.76</v>
      </c>
      <c r="K256" s="533"/>
      <c r="L256" s="534"/>
      <c r="M256" s="535"/>
      <c r="N256" s="536"/>
      <c r="O256" s="537"/>
      <c r="P256" s="538"/>
      <c r="Q256" s="539"/>
      <c r="R256" s="540">
        <f>G257+J257</f>
        <v>2.1934992000000002</v>
      </c>
      <c r="S256" s="794"/>
      <c r="T256" s="796"/>
    </row>
    <row r="257" spans="1:20" ht="12">
      <c r="A257" s="541"/>
      <c r="B257" s="638"/>
      <c r="C257" s="793"/>
      <c r="D257" s="542"/>
      <c r="E257" s="636"/>
      <c r="F257" s="543"/>
      <c r="G257" s="463">
        <f>G256*$J$13/1000</f>
        <v>0.19104360000000001</v>
      </c>
      <c r="H257" s="543"/>
      <c r="I257" s="544"/>
      <c r="J257" s="463">
        <f>J256*$Q$13/1000</f>
        <v>2.0024556000000002</v>
      </c>
      <c r="K257" s="545"/>
      <c r="L257" s="546" t="s">
        <v>55</v>
      </c>
      <c r="M257" s="547" t="s">
        <v>35</v>
      </c>
      <c r="N257" s="548">
        <v>1.26</v>
      </c>
      <c r="O257" s="548">
        <f>E256*N257</f>
        <v>0.42840000000000006</v>
      </c>
      <c r="P257" s="549">
        <v>4</v>
      </c>
      <c r="Q257" s="550">
        <f>N257*P257*$N$11</f>
        <v>5.752478088000001</v>
      </c>
      <c r="R257" s="636">
        <f>SUM(Q257:Q257)</f>
        <v>5.752478088000001</v>
      </c>
      <c r="S257" s="795"/>
      <c r="T257" s="797"/>
    </row>
    <row r="258" spans="1:20" ht="9.75" customHeight="1">
      <c r="A258" s="551"/>
      <c r="B258" s="552"/>
      <c r="C258" s="553"/>
      <c r="D258" s="554"/>
      <c r="E258" s="555"/>
      <c r="F258" s="556"/>
      <c r="G258" s="557"/>
      <c r="H258" s="556"/>
      <c r="I258" s="558"/>
      <c r="J258" s="557"/>
      <c r="K258" s="559"/>
      <c r="L258" s="560"/>
      <c r="M258" s="561"/>
      <c r="N258" s="562"/>
      <c r="O258" s="563"/>
      <c r="P258" s="556"/>
      <c r="Q258" s="564"/>
      <c r="R258" s="555"/>
      <c r="S258" s="555"/>
      <c r="T258" s="565"/>
    </row>
    <row r="259" spans="1:20" ht="12">
      <c r="A259" s="529" t="e">
        <f>A256+1</f>
        <v>#REF!</v>
      </c>
      <c r="B259" s="805" t="s">
        <v>56</v>
      </c>
      <c r="C259" s="807" t="s">
        <v>171</v>
      </c>
      <c r="D259" s="530" t="s">
        <v>45</v>
      </c>
      <c r="E259" s="635">
        <f>3.4/100</f>
        <v>3.4000000000000002E-2</v>
      </c>
      <c r="F259" s="531"/>
      <c r="G259" s="463">
        <f>2.08+0.03/10*2</f>
        <v>2.0859999999999999</v>
      </c>
      <c r="H259" s="531"/>
      <c r="I259" s="532"/>
      <c r="J259" s="463">
        <v>4.74</v>
      </c>
      <c r="K259" s="533"/>
      <c r="L259" s="566"/>
      <c r="M259" s="567"/>
      <c r="N259" s="568"/>
      <c r="O259" s="569"/>
      <c r="P259" s="531"/>
      <c r="Q259" s="570"/>
      <c r="R259" s="540">
        <f>G260+J260</f>
        <v>16.111880760000002</v>
      </c>
      <c r="S259" s="794"/>
      <c r="T259" s="796"/>
    </row>
    <row r="260" spans="1:20" ht="12">
      <c r="A260" s="541"/>
      <c r="B260" s="806"/>
      <c r="C260" s="808"/>
      <c r="D260" s="542"/>
      <c r="E260" s="636"/>
      <c r="F260" s="543"/>
      <c r="G260" s="463">
        <f>G259*$J$13/1000</f>
        <v>3.6228813600000001</v>
      </c>
      <c r="H260" s="543"/>
      <c r="I260" s="544"/>
      <c r="J260" s="463">
        <f>J259*$Q$13/1000</f>
        <v>12.488999400000001</v>
      </c>
      <c r="K260" s="545"/>
      <c r="L260" s="809" t="s">
        <v>47</v>
      </c>
      <c r="M260" s="571" t="s">
        <v>33</v>
      </c>
      <c r="N260" s="572">
        <f>9.77+12.1/10*2</f>
        <v>12.19</v>
      </c>
      <c r="O260" s="572">
        <f>E259*N260</f>
        <v>0.41446</v>
      </c>
      <c r="P260" s="573">
        <v>24</v>
      </c>
      <c r="Q260" s="574">
        <f>N260*P260*$N$11</f>
        <v>333.91765663200005</v>
      </c>
      <c r="R260" s="636">
        <f>SUM(Q260:Q260)</f>
        <v>333.91765663200005</v>
      </c>
      <c r="S260" s="795"/>
      <c r="T260" s="797"/>
    </row>
    <row r="261" spans="1:20" ht="5.25" hidden="1" customHeight="1">
      <c r="A261" s="541"/>
      <c r="B261" s="806"/>
      <c r="C261" s="808"/>
      <c r="D261" s="542"/>
      <c r="E261" s="636"/>
      <c r="F261" s="543"/>
      <c r="G261" s="575"/>
      <c r="H261" s="543"/>
      <c r="I261" s="544"/>
      <c r="J261" s="575"/>
      <c r="K261" s="545"/>
      <c r="L261" s="810"/>
      <c r="M261" s="576"/>
      <c r="N261" s="577"/>
      <c r="O261" s="548"/>
      <c r="P261" s="578"/>
      <c r="Q261" s="550"/>
      <c r="R261" s="636"/>
      <c r="S261" s="636"/>
      <c r="T261" s="579"/>
    </row>
    <row r="262" spans="1:20" ht="12" hidden="1">
      <c r="A262" s="541"/>
      <c r="B262" s="806"/>
      <c r="C262" s="808"/>
      <c r="D262" s="542"/>
      <c r="E262" s="636"/>
      <c r="F262" s="543"/>
      <c r="G262" s="575"/>
      <c r="H262" s="543"/>
      <c r="I262" s="544"/>
      <c r="J262" s="575"/>
      <c r="K262" s="545"/>
      <c r="L262" s="580"/>
      <c r="M262" s="581"/>
      <c r="N262" s="582"/>
      <c r="O262" s="583"/>
      <c r="P262" s="543"/>
      <c r="Q262" s="584"/>
      <c r="R262" s="636"/>
      <c r="S262" s="636"/>
      <c r="T262" s="579"/>
    </row>
    <row r="263" spans="1:20" ht="12" hidden="1">
      <c r="A263" s="541"/>
      <c r="B263" s="806" t="s">
        <v>46</v>
      </c>
      <c r="C263" s="808"/>
      <c r="D263" s="542"/>
      <c r="E263" s="636"/>
      <c r="F263" s="543"/>
      <c r="G263" s="575"/>
      <c r="H263" s="543"/>
      <c r="I263" s="544"/>
      <c r="J263" s="575"/>
      <c r="K263" s="545"/>
      <c r="L263" s="580"/>
      <c r="M263" s="581"/>
      <c r="N263" s="582"/>
      <c r="O263" s="583"/>
      <c r="P263" s="543"/>
      <c r="Q263" s="584"/>
      <c r="R263" s="636"/>
      <c r="S263" s="636"/>
      <c r="T263" s="579"/>
    </row>
    <row r="264" spans="1:20" ht="12" hidden="1">
      <c r="A264" s="541"/>
      <c r="B264" s="806"/>
      <c r="C264" s="808"/>
      <c r="D264" s="542"/>
      <c r="E264" s="636"/>
      <c r="F264" s="543"/>
      <c r="G264" s="575"/>
      <c r="H264" s="543"/>
      <c r="I264" s="544"/>
      <c r="J264" s="575"/>
      <c r="K264" s="545"/>
      <c r="L264" s="580"/>
      <c r="M264" s="581"/>
      <c r="N264" s="582"/>
      <c r="O264" s="583"/>
      <c r="P264" s="543"/>
      <c r="Q264" s="584"/>
      <c r="R264" s="636"/>
      <c r="S264" s="636"/>
      <c r="T264" s="579"/>
    </row>
    <row r="265" spans="1:20" ht="8.25" customHeight="1">
      <c r="A265" s="551"/>
      <c r="B265" s="552"/>
      <c r="C265" s="553"/>
      <c r="D265" s="554"/>
      <c r="E265" s="555"/>
      <c r="F265" s="556"/>
      <c r="G265" s="557"/>
      <c r="H265" s="556"/>
      <c r="I265" s="558"/>
      <c r="J265" s="557"/>
      <c r="K265" s="559"/>
      <c r="L265" s="560"/>
      <c r="M265" s="561"/>
      <c r="N265" s="562"/>
      <c r="O265" s="563"/>
      <c r="P265" s="556"/>
      <c r="Q265" s="564"/>
      <c r="R265" s="555"/>
      <c r="S265" s="555"/>
      <c r="T265" s="565"/>
    </row>
    <row r="266" spans="1:20" ht="12">
      <c r="A266" s="497" t="e">
        <f>A259+1</f>
        <v>#REF!</v>
      </c>
      <c r="B266" s="498" t="s">
        <v>154</v>
      </c>
      <c r="C266" s="789" t="s">
        <v>155</v>
      </c>
      <c r="D266" s="499" t="s">
        <v>26</v>
      </c>
      <c r="E266" s="632">
        <v>60</v>
      </c>
      <c r="F266" s="500"/>
      <c r="G266" s="501">
        <v>0.19</v>
      </c>
      <c r="H266" s="500"/>
      <c r="I266" s="502"/>
      <c r="J266" s="503">
        <v>0.02</v>
      </c>
      <c r="K266" s="375"/>
      <c r="L266" s="504"/>
      <c r="M266" s="505"/>
      <c r="N266" s="506"/>
      <c r="O266" s="506"/>
      <c r="P266" s="358"/>
      <c r="Q266" s="507"/>
      <c r="R266" s="368">
        <f>G267+J267</f>
        <v>0.38268060000000004</v>
      </c>
      <c r="S266" s="794"/>
      <c r="T266" s="801"/>
    </row>
    <row r="267" spans="1:20" ht="12">
      <c r="A267" s="370"/>
      <c r="B267" s="498"/>
      <c r="C267" s="790"/>
      <c r="D267" s="499"/>
      <c r="E267" s="632"/>
      <c r="F267" s="500"/>
      <c r="G267" s="359">
        <f>G266*$J$13/1000</f>
        <v>0.32998440000000001</v>
      </c>
      <c r="H267" s="500"/>
      <c r="I267" s="502"/>
      <c r="J267" s="359">
        <f>J266*$Q$13/1000</f>
        <v>5.2696199999999999E-2</v>
      </c>
      <c r="K267" s="375"/>
      <c r="L267" s="803" t="s">
        <v>155</v>
      </c>
      <c r="M267" s="585" t="s">
        <v>26</v>
      </c>
      <c r="N267" s="586">
        <v>1</v>
      </c>
      <c r="O267" s="587">
        <f>E266*N267</f>
        <v>60</v>
      </c>
      <c r="P267" s="588">
        <v>1.2330000000000001</v>
      </c>
      <c r="Q267" s="589">
        <f>N267*P267*$N$11</f>
        <v>1.4073026751000004</v>
      </c>
      <c r="R267" s="632">
        <f>SUM(Q267:Q267)</f>
        <v>1.4073026751000004</v>
      </c>
      <c r="S267" s="795"/>
      <c r="T267" s="802"/>
    </row>
    <row r="268" spans="1:20" ht="4.5" hidden="1" customHeight="1">
      <c r="A268" s="370"/>
      <c r="B268" s="369"/>
      <c r="C268" s="790"/>
      <c r="D268" s="499"/>
      <c r="E268" s="632"/>
      <c r="F268" s="500"/>
      <c r="G268" s="501"/>
      <c r="H268" s="500"/>
      <c r="I268" s="502"/>
      <c r="J268" s="503"/>
      <c r="K268" s="375"/>
      <c r="L268" s="804"/>
      <c r="M268" s="376"/>
      <c r="N268" s="590"/>
      <c r="O268" s="590"/>
      <c r="P268" s="591"/>
      <c r="Q268" s="592"/>
      <c r="R268" s="632"/>
      <c r="S268" s="632"/>
      <c r="T268" s="518"/>
    </row>
    <row r="269" spans="1:20" ht="12" hidden="1">
      <c r="A269" s="370"/>
      <c r="B269" s="369"/>
      <c r="C269" s="790"/>
      <c r="D269" s="499"/>
      <c r="E269" s="632"/>
      <c r="F269" s="500"/>
      <c r="G269" s="501"/>
      <c r="H269" s="500"/>
      <c r="I269" s="502"/>
      <c r="J269" s="503"/>
      <c r="K269" s="375"/>
      <c r="L269" s="514"/>
      <c r="M269" s="515"/>
      <c r="N269" s="516"/>
      <c r="O269" s="516"/>
      <c r="P269" s="500"/>
      <c r="Q269" s="517"/>
      <c r="R269" s="632"/>
      <c r="S269" s="632"/>
      <c r="T269" s="518"/>
    </row>
    <row r="270" spans="1:20" ht="9.75" customHeight="1">
      <c r="A270" s="380"/>
      <c r="B270" s="381"/>
      <c r="C270" s="382"/>
      <c r="D270" s="383"/>
      <c r="E270" s="384"/>
      <c r="F270" s="385"/>
      <c r="G270" s="386"/>
      <c r="H270" s="385"/>
      <c r="I270" s="387"/>
      <c r="J270" s="386"/>
      <c r="K270" s="388"/>
      <c r="L270" s="519"/>
      <c r="M270" s="520"/>
      <c r="N270" s="521"/>
      <c r="O270" s="521"/>
      <c r="P270" s="373"/>
      <c r="Q270" s="517"/>
      <c r="R270" s="632"/>
      <c r="S270" s="632"/>
      <c r="T270" s="518"/>
    </row>
    <row r="271" spans="1:20" ht="12">
      <c r="A271" s="497" t="e">
        <f>A266+1</f>
        <v>#REF!</v>
      </c>
      <c r="B271" s="498" t="s">
        <v>154</v>
      </c>
      <c r="C271" s="789" t="s">
        <v>156</v>
      </c>
      <c r="D271" s="499" t="s">
        <v>26</v>
      </c>
      <c r="E271" s="632">
        <v>110</v>
      </c>
      <c r="F271" s="500"/>
      <c r="G271" s="501">
        <v>0.19</v>
      </c>
      <c r="H271" s="500"/>
      <c r="I271" s="502"/>
      <c r="J271" s="503">
        <v>0.02</v>
      </c>
      <c r="K271" s="375"/>
      <c r="L271" s="504"/>
      <c r="M271" s="505"/>
      <c r="N271" s="506"/>
      <c r="O271" s="506"/>
      <c r="P271" s="358"/>
      <c r="Q271" s="507"/>
      <c r="R271" s="368">
        <f>G272+J272</f>
        <v>0.38268060000000004</v>
      </c>
      <c r="S271" s="794"/>
      <c r="T271" s="801"/>
    </row>
    <row r="272" spans="1:20" ht="7.5" customHeight="1">
      <c r="A272" s="370"/>
      <c r="B272" s="498"/>
      <c r="C272" s="790"/>
      <c r="D272" s="499"/>
      <c r="E272" s="632"/>
      <c r="F272" s="500"/>
      <c r="G272" s="359">
        <f>G271*$J$13/1000</f>
        <v>0.32998440000000001</v>
      </c>
      <c r="H272" s="500"/>
      <c r="I272" s="502"/>
      <c r="J272" s="359">
        <f>J271*$Q$13/1000</f>
        <v>5.2696199999999999E-2</v>
      </c>
      <c r="K272" s="375"/>
      <c r="L272" s="803" t="s">
        <v>156</v>
      </c>
      <c r="M272" s="585" t="s">
        <v>26</v>
      </c>
      <c r="N272" s="586">
        <v>1</v>
      </c>
      <c r="O272" s="587">
        <f>E271*N272</f>
        <v>110</v>
      </c>
      <c r="P272" s="588">
        <v>0.82499999999999996</v>
      </c>
      <c r="Q272" s="589">
        <f>N272*P272*$N$11</f>
        <v>0.94162587750000015</v>
      </c>
      <c r="R272" s="632">
        <f>SUM(Q272:Q272)</f>
        <v>0.94162587750000015</v>
      </c>
      <c r="S272" s="795"/>
      <c r="T272" s="802"/>
    </row>
    <row r="273" spans="1:20" ht="5.25" hidden="1" customHeight="1">
      <c r="A273" s="370"/>
      <c r="B273" s="369"/>
      <c r="C273" s="790"/>
      <c r="D273" s="499"/>
      <c r="E273" s="632"/>
      <c r="F273" s="500"/>
      <c r="G273" s="501"/>
      <c r="H273" s="500"/>
      <c r="I273" s="502"/>
      <c r="J273" s="503"/>
      <c r="K273" s="375"/>
      <c r="L273" s="804"/>
      <c r="M273" s="376"/>
      <c r="N273" s="590"/>
      <c r="O273" s="590"/>
      <c r="P273" s="591"/>
      <c r="Q273" s="592"/>
      <c r="R273" s="632"/>
      <c r="S273" s="632"/>
      <c r="T273" s="518"/>
    </row>
    <row r="274" spans="1:20" ht="12" hidden="1">
      <c r="A274" s="370"/>
      <c r="B274" s="369"/>
      <c r="C274" s="790"/>
      <c r="D274" s="499"/>
      <c r="E274" s="632"/>
      <c r="F274" s="500"/>
      <c r="G274" s="501"/>
      <c r="H274" s="500"/>
      <c r="I274" s="502"/>
      <c r="J274" s="503"/>
      <c r="K274" s="375"/>
      <c r="L274" s="514"/>
      <c r="M274" s="515"/>
      <c r="N274" s="516"/>
      <c r="O274" s="516"/>
      <c r="P274" s="500"/>
      <c r="Q274" s="517"/>
      <c r="R274" s="632"/>
      <c r="S274" s="632"/>
      <c r="T274" s="518"/>
    </row>
    <row r="275" spans="1:20" ht="15">
      <c r="A275" s="380"/>
      <c r="B275" s="381"/>
      <c r="C275" s="382"/>
      <c r="D275" s="383"/>
      <c r="E275" s="384"/>
      <c r="F275" s="385"/>
      <c r="G275" s="386"/>
      <c r="H275" s="385"/>
      <c r="I275" s="387"/>
      <c r="J275" s="386"/>
      <c r="K275" s="388"/>
      <c r="L275" s="519"/>
      <c r="M275" s="520"/>
      <c r="N275" s="521"/>
      <c r="O275" s="521"/>
      <c r="P275" s="373"/>
      <c r="Q275" s="517"/>
      <c r="R275" s="632"/>
      <c r="S275" s="632"/>
      <c r="T275" s="518"/>
    </row>
    <row r="276" spans="1:20" ht="12">
      <c r="A276" s="497" t="e">
        <f>A271+1</f>
        <v>#REF!</v>
      </c>
      <c r="B276" s="498" t="s">
        <v>154</v>
      </c>
      <c r="C276" s="789" t="s">
        <v>157</v>
      </c>
      <c r="D276" s="499" t="s">
        <v>26</v>
      </c>
      <c r="E276" s="632">
        <v>200</v>
      </c>
      <c r="F276" s="500"/>
      <c r="G276" s="501">
        <v>0.19</v>
      </c>
      <c r="H276" s="500"/>
      <c r="I276" s="502"/>
      <c r="J276" s="503">
        <v>0.02</v>
      </c>
      <c r="K276" s="375"/>
      <c r="L276" s="504"/>
      <c r="M276" s="505"/>
      <c r="N276" s="506"/>
      <c r="O276" s="506"/>
      <c r="P276" s="358"/>
      <c r="Q276" s="507"/>
      <c r="R276" s="368">
        <f>G277+J277</f>
        <v>0.38268060000000004</v>
      </c>
      <c r="S276" s="794"/>
      <c r="T276" s="801"/>
    </row>
    <row r="277" spans="1:20" ht="10.5" customHeight="1">
      <c r="A277" s="370"/>
      <c r="B277" s="498"/>
      <c r="C277" s="790"/>
      <c r="D277" s="499"/>
      <c r="E277" s="632"/>
      <c r="F277" s="500"/>
      <c r="G277" s="359">
        <f>G276*$J$13/1000</f>
        <v>0.32998440000000001</v>
      </c>
      <c r="H277" s="500"/>
      <c r="I277" s="502"/>
      <c r="J277" s="359">
        <f>J276*$Q$13/1000</f>
        <v>5.2696199999999999E-2</v>
      </c>
      <c r="K277" s="375"/>
      <c r="L277" s="803" t="s">
        <v>157</v>
      </c>
      <c r="M277" s="585" t="s">
        <v>26</v>
      </c>
      <c r="N277" s="586">
        <v>1</v>
      </c>
      <c r="O277" s="587">
        <f>E276*N277</f>
        <v>200</v>
      </c>
      <c r="P277" s="588">
        <v>0.64800000000000002</v>
      </c>
      <c r="Q277" s="589">
        <f>N277*P277*$N$11</f>
        <v>0.73960432560000022</v>
      </c>
      <c r="R277" s="632">
        <f>SUM(Q277:Q277)</f>
        <v>0.73960432560000022</v>
      </c>
      <c r="S277" s="795"/>
      <c r="T277" s="802"/>
    </row>
    <row r="278" spans="1:20" ht="2.25" hidden="1" customHeight="1">
      <c r="A278" s="370"/>
      <c r="B278" s="369"/>
      <c r="C278" s="790"/>
      <c r="D278" s="499"/>
      <c r="E278" s="632"/>
      <c r="F278" s="500"/>
      <c r="G278" s="501"/>
      <c r="H278" s="500"/>
      <c r="I278" s="502"/>
      <c r="J278" s="503"/>
      <c r="K278" s="375"/>
      <c r="L278" s="804"/>
      <c r="M278" s="376"/>
      <c r="N278" s="590"/>
      <c r="O278" s="590"/>
      <c r="P278" s="591"/>
      <c r="Q278" s="592"/>
      <c r="R278" s="632"/>
      <c r="S278" s="632"/>
      <c r="T278" s="518"/>
    </row>
    <row r="279" spans="1:20" ht="12" hidden="1">
      <c r="A279" s="370"/>
      <c r="B279" s="369"/>
      <c r="C279" s="790"/>
      <c r="D279" s="499"/>
      <c r="E279" s="632"/>
      <c r="F279" s="500"/>
      <c r="G279" s="501"/>
      <c r="H279" s="500"/>
      <c r="I279" s="502"/>
      <c r="J279" s="503"/>
      <c r="K279" s="375"/>
      <c r="L279" s="514"/>
      <c r="M279" s="515"/>
      <c r="N279" s="516"/>
      <c r="O279" s="516"/>
      <c r="P279" s="500"/>
      <c r="Q279" s="517"/>
      <c r="R279" s="632"/>
      <c r="S279" s="632"/>
      <c r="T279" s="518"/>
    </row>
    <row r="280" spans="1:20" ht="10.5" customHeight="1">
      <c r="A280" s="380"/>
      <c r="B280" s="381"/>
      <c r="C280" s="382"/>
      <c r="D280" s="383"/>
      <c r="E280" s="384"/>
      <c r="F280" s="385"/>
      <c r="G280" s="386"/>
      <c r="H280" s="385"/>
      <c r="I280" s="387"/>
      <c r="J280" s="386"/>
      <c r="K280" s="388"/>
      <c r="L280" s="519"/>
      <c r="M280" s="520"/>
      <c r="N280" s="521"/>
      <c r="O280" s="521"/>
      <c r="P280" s="373"/>
      <c r="Q280" s="517"/>
      <c r="R280" s="632"/>
      <c r="S280" s="632"/>
      <c r="T280" s="518"/>
    </row>
    <row r="281" spans="1:20" ht="13.5" customHeight="1">
      <c r="A281" s="497" t="e">
        <f>A276+1</f>
        <v>#REF!</v>
      </c>
      <c r="B281" s="498" t="s">
        <v>158</v>
      </c>
      <c r="C281" s="789" t="s">
        <v>172</v>
      </c>
      <c r="D281" s="499" t="s">
        <v>27</v>
      </c>
      <c r="E281" s="632">
        <v>3</v>
      </c>
      <c r="F281" s="500"/>
      <c r="G281" s="501">
        <v>0.79</v>
      </c>
      <c r="H281" s="500"/>
      <c r="I281" s="502"/>
      <c r="J281" s="503">
        <v>0.06</v>
      </c>
      <c r="K281" s="375"/>
      <c r="L281" s="504"/>
      <c r="M281" s="505"/>
      <c r="N281" s="506"/>
      <c r="O281" s="506"/>
      <c r="P281" s="358"/>
      <c r="Q281" s="507"/>
      <c r="R281" s="368">
        <f>G282+J282</f>
        <v>1.5301290000000001</v>
      </c>
      <c r="S281" s="794"/>
      <c r="T281" s="801"/>
    </row>
    <row r="282" spans="1:20" ht="7.5" customHeight="1">
      <c r="A282" s="370"/>
      <c r="B282" s="498"/>
      <c r="C282" s="790"/>
      <c r="D282" s="499"/>
      <c r="E282" s="632"/>
      <c r="F282" s="500"/>
      <c r="G282" s="359">
        <f>G281*$J$13/1000</f>
        <v>1.3720404000000002</v>
      </c>
      <c r="H282" s="500"/>
      <c r="I282" s="502"/>
      <c r="J282" s="359">
        <f>J281*$Q$13/1000</f>
        <v>0.1580886</v>
      </c>
      <c r="K282" s="375"/>
      <c r="L282" s="803" t="s">
        <v>173</v>
      </c>
      <c r="M282" s="585" t="s">
        <v>27</v>
      </c>
      <c r="N282" s="586">
        <v>1</v>
      </c>
      <c r="O282" s="587">
        <f>E281*N282</f>
        <v>3</v>
      </c>
      <c r="P282" s="588">
        <v>6.2</v>
      </c>
      <c r="Q282" s="589">
        <f>N282*P282*$N$11</f>
        <v>7.0764611400000019</v>
      </c>
      <c r="R282" s="632">
        <f>SUM(Q282:Q282)</f>
        <v>7.0764611400000019</v>
      </c>
      <c r="S282" s="795"/>
      <c r="T282" s="802"/>
    </row>
    <row r="283" spans="1:20" ht="12" hidden="1">
      <c r="A283" s="370"/>
      <c r="B283" s="369"/>
      <c r="C283" s="790"/>
      <c r="D283" s="499"/>
      <c r="E283" s="632"/>
      <c r="F283" s="500"/>
      <c r="G283" s="501"/>
      <c r="H283" s="500"/>
      <c r="I283" s="502"/>
      <c r="J283" s="503"/>
      <c r="K283" s="375"/>
      <c r="L283" s="811"/>
      <c r="M283" s="593"/>
      <c r="N283" s="594"/>
      <c r="O283" s="594"/>
      <c r="P283" s="595"/>
      <c r="Q283" s="596"/>
      <c r="R283" s="632"/>
      <c r="S283" s="632"/>
      <c r="T283" s="518"/>
    </row>
    <row r="284" spans="1:20" ht="15">
      <c r="A284" s="380"/>
      <c r="B284" s="381"/>
      <c r="C284" s="382"/>
      <c r="D284" s="383"/>
      <c r="E284" s="384"/>
      <c r="F284" s="385"/>
      <c r="G284" s="386"/>
      <c r="H284" s="385"/>
      <c r="I284" s="387"/>
      <c r="J284" s="386"/>
      <c r="K284" s="388"/>
      <c r="L284" s="519"/>
      <c r="M284" s="520"/>
      <c r="N284" s="521"/>
      <c r="O284" s="521"/>
      <c r="P284" s="373"/>
      <c r="Q284" s="517"/>
      <c r="R284" s="632"/>
      <c r="S284" s="632"/>
      <c r="T284" s="518"/>
    </row>
    <row r="285" spans="1:20" ht="12" customHeight="1">
      <c r="A285" s="497" t="e">
        <f>A281+1</f>
        <v>#REF!</v>
      </c>
      <c r="B285" s="498" t="s">
        <v>158</v>
      </c>
      <c r="C285" s="789" t="s">
        <v>174</v>
      </c>
      <c r="D285" s="499" t="s">
        <v>27</v>
      </c>
      <c r="E285" s="632">
        <v>2</v>
      </c>
      <c r="F285" s="500"/>
      <c r="G285" s="501">
        <v>0.79</v>
      </c>
      <c r="H285" s="500"/>
      <c r="I285" s="502"/>
      <c r="J285" s="503">
        <v>0.06</v>
      </c>
      <c r="K285" s="375"/>
      <c r="L285" s="504"/>
      <c r="M285" s="505"/>
      <c r="N285" s="506"/>
      <c r="O285" s="506"/>
      <c r="P285" s="358"/>
      <c r="Q285" s="507"/>
      <c r="R285" s="368">
        <f>G286+J286</f>
        <v>1.5301290000000001</v>
      </c>
      <c r="S285" s="794"/>
      <c r="T285" s="801"/>
    </row>
    <row r="286" spans="1:20" ht="11.25" customHeight="1">
      <c r="A286" s="370"/>
      <c r="B286" s="498"/>
      <c r="C286" s="790"/>
      <c r="D286" s="499"/>
      <c r="E286" s="632"/>
      <c r="F286" s="500"/>
      <c r="G286" s="359">
        <f>G285*$J$13/1000</f>
        <v>1.3720404000000002</v>
      </c>
      <c r="H286" s="500"/>
      <c r="I286" s="502"/>
      <c r="J286" s="359">
        <f>J285*$Q$13/1000</f>
        <v>0.1580886</v>
      </c>
      <c r="K286" s="375"/>
      <c r="L286" s="803" t="s">
        <v>175</v>
      </c>
      <c r="M286" s="585" t="s">
        <v>27</v>
      </c>
      <c r="N286" s="586">
        <v>1</v>
      </c>
      <c r="O286" s="587">
        <f>E285*N286</f>
        <v>2</v>
      </c>
      <c r="P286" s="588">
        <v>5.6</v>
      </c>
      <c r="Q286" s="589">
        <f>N286*P286*$N$11</f>
        <v>6.3916423200000008</v>
      </c>
      <c r="R286" s="632">
        <f>SUM(Q286:Q286)</f>
        <v>6.3916423200000008</v>
      </c>
      <c r="S286" s="795"/>
      <c r="T286" s="802"/>
    </row>
    <row r="287" spans="1:20" ht="5.25" hidden="1" customHeight="1">
      <c r="A287" s="370"/>
      <c r="B287" s="369"/>
      <c r="C287" s="790"/>
      <c r="D287" s="499"/>
      <c r="E287" s="632"/>
      <c r="F287" s="500"/>
      <c r="G287" s="501"/>
      <c r="H287" s="500"/>
      <c r="I287" s="502"/>
      <c r="J287" s="503"/>
      <c r="K287" s="375"/>
      <c r="L287" s="811"/>
      <c r="M287" s="593"/>
      <c r="N287" s="594"/>
      <c r="O287" s="594"/>
      <c r="P287" s="595"/>
      <c r="Q287" s="596"/>
      <c r="R287" s="632"/>
      <c r="S287" s="632"/>
      <c r="T287" s="518"/>
    </row>
    <row r="288" spans="1:20" ht="10.5" customHeight="1">
      <c r="A288" s="380"/>
      <c r="B288" s="381"/>
      <c r="C288" s="382"/>
      <c r="D288" s="383"/>
      <c r="E288" s="384"/>
      <c r="F288" s="385"/>
      <c r="G288" s="386"/>
      <c r="H288" s="385"/>
      <c r="I288" s="387"/>
      <c r="J288" s="386"/>
      <c r="K288" s="388"/>
      <c r="L288" s="519"/>
      <c r="M288" s="520"/>
      <c r="N288" s="521"/>
      <c r="O288" s="521"/>
      <c r="P288" s="373"/>
      <c r="Q288" s="517"/>
      <c r="R288" s="632"/>
      <c r="S288" s="632"/>
      <c r="T288" s="518"/>
    </row>
    <row r="289" spans="1:20" ht="11.25" customHeight="1">
      <c r="A289" s="497" t="e">
        <f>A285+1</f>
        <v>#REF!</v>
      </c>
      <c r="B289" s="498" t="s">
        <v>158</v>
      </c>
      <c r="C289" s="789" t="s">
        <v>176</v>
      </c>
      <c r="D289" s="499" t="s">
        <v>27</v>
      </c>
      <c r="E289" s="632">
        <v>1</v>
      </c>
      <c r="F289" s="500"/>
      <c r="G289" s="501">
        <v>0.79</v>
      </c>
      <c r="H289" s="500"/>
      <c r="I289" s="502"/>
      <c r="J289" s="503">
        <v>0.06</v>
      </c>
      <c r="K289" s="375"/>
      <c r="L289" s="504"/>
      <c r="M289" s="505"/>
      <c r="N289" s="506"/>
      <c r="O289" s="506"/>
      <c r="P289" s="358"/>
      <c r="Q289" s="507"/>
      <c r="R289" s="368">
        <f>G290+J290</f>
        <v>1.5301290000000001</v>
      </c>
      <c r="S289" s="794"/>
      <c r="T289" s="801"/>
    </row>
    <row r="290" spans="1:20" ht="10.5" customHeight="1">
      <c r="A290" s="370"/>
      <c r="B290" s="498"/>
      <c r="C290" s="790"/>
      <c r="D290" s="499"/>
      <c r="E290" s="632"/>
      <c r="F290" s="500"/>
      <c r="G290" s="359">
        <f>G289*$J$13/1000</f>
        <v>1.3720404000000002</v>
      </c>
      <c r="H290" s="500"/>
      <c r="I290" s="502"/>
      <c r="J290" s="359">
        <f>J289*$Q$13/1000</f>
        <v>0.1580886</v>
      </c>
      <c r="K290" s="375"/>
      <c r="L290" s="803" t="s">
        <v>177</v>
      </c>
      <c r="M290" s="585" t="s">
        <v>27</v>
      </c>
      <c r="N290" s="586">
        <v>1</v>
      </c>
      <c r="O290" s="587">
        <f>E289*N290</f>
        <v>1</v>
      </c>
      <c r="P290" s="588">
        <v>3.7</v>
      </c>
      <c r="Q290" s="589">
        <f>N290*P290*$N$11</f>
        <v>4.2230493900000008</v>
      </c>
      <c r="R290" s="632">
        <f>SUM(Q290:Q290)</f>
        <v>4.2230493900000008</v>
      </c>
      <c r="S290" s="795"/>
      <c r="T290" s="802"/>
    </row>
    <row r="291" spans="1:20" ht="1.5" hidden="1" customHeight="1">
      <c r="A291" s="370"/>
      <c r="B291" s="369"/>
      <c r="C291" s="790"/>
      <c r="D291" s="499"/>
      <c r="E291" s="632"/>
      <c r="F291" s="500"/>
      <c r="G291" s="501"/>
      <c r="H291" s="500"/>
      <c r="I291" s="502"/>
      <c r="J291" s="503"/>
      <c r="K291" s="375"/>
      <c r="L291" s="811"/>
      <c r="M291" s="593"/>
      <c r="N291" s="594"/>
      <c r="O291" s="594"/>
      <c r="P291" s="595"/>
      <c r="Q291" s="596"/>
      <c r="R291" s="632"/>
      <c r="S291" s="632"/>
      <c r="T291" s="518"/>
    </row>
    <row r="292" spans="1:20" ht="10.5" customHeight="1">
      <c r="A292" s="380"/>
      <c r="B292" s="381"/>
      <c r="C292" s="382"/>
      <c r="D292" s="383"/>
      <c r="E292" s="384"/>
      <c r="F292" s="385"/>
      <c r="G292" s="386"/>
      <c r="H292" s="385"/>
      <c r="I292" s="387"/>
      <c r="J292" s="386"/>
      <c r="K292" s="388"/>
      <c r="L292" s="519"/>
      <c r="M292" s="520"/>
      <c r="N292" s="521"/>
      <c r="O292" s="521"/>
      <c r="P292" s="373"/>
      <c r="Q292" s="517"/>
      <c r="R292" s="632"/>
      <c r="S292" s="632"/>
      <c r="T292" s="518"/>
    </row>
    <row r="293" spans="1:20" ht="12" customHeight="1">
      <c r="A293" s="497" t="e">
        <f>A289+1</f>
        <v>#REF!</v>
      </c>
      <c r="B293" s="498" t="s">
        <v>158</v>
      </c>
      <c r="C293" s="789" t="s">
        <v>159</v>
      </c>
      <c r="D293" s="499" t="s">
        <v>27</v>
      </c>
      <c r="E293" s="632">
        <v>50</v>
      </c>
      <c r="F293" s="500"/>
      <c r="G293" s="501">
        <v>0.79</v>
      </c>
      <c r="H293" s="500"/>
      <c r="I293" s="502"/>
      <c r="J293" s="503">
        <v>0.06</v>
      </c>
      <c r="K293" s="375"/>
      <c r="L293" s="504"/>
      <c r="M293" s="505"/>
      <c r="N293" s="506"/>
      <c r="O293" s="506"/>
      <c r="P293" s="358"/>
      <c r="Q293" s="507"/>
      <c r="R293" s="368">
        <f>G294+J294</f>
        <v>1.5301290000000001</v>
      </c>
      <c r="S293" s="794"/>
      <c r="T293" s="801"/>
    </row>
    <row r="294" spans="1:20" ht="9.75" customHeight="1">
      <c r="A294" s="370"/>
      <c r="B294" s="498"/>
      <c r="C294" s="790"/>
      <c r="D294" s="499"/>
      <c r="E294" s="632"/>
      <c r="F294" s="500"/>
      <c r="G294" s="359">
        <f>G293*$J$13/1000</f>
        <v>1.3720404000000002</v>
      </c>
      <c r="H294" s="500"/>
      <c r="I294" s="502"/>
      <c r="J294" s="359">
        <f>J293*$Q$13/1000</f>
        <v>0.1580886</v>
      </c>
      <c r="K294" s="375"/>
      <c r="L294" s="803" t="s">
        <v>160</v>
      </c>
      <c r="M294" s="585" t="s">
        <v>27</v>
      </c>
      <c r="N294" s="586">
        <v>1</v>
      </c>
      <c r="O294" s="587">
        <f>E293*N294</f>
        <v>50</v>
      </c>
      <c r="P294" s="588">
        <v>2.5</v>
      </c>
      <c r="Q294" s="589">
        <f>N294*P294*$N$11</f>
        <v>2.8534117500000007</v>
      </c>
      <c r="R294" s="632">
        <f>SUM(Q294:Q294)</f>
        <v>2.8534117500000007</v>
      </c>
      <c r="S294" s="795"/>
      <c r="T294" s="802"/>
    </row>
    <row r="295" spans="1:20" ht="3" hidden="1" customHeight="1">
      <c r="A295" s="370"/>
      <c r="B295" s="369"/>
      <c r="C295" s="790"/>
      <c r="D295" s="499"/>
      <c r="E295" s="632"/>
      <c r="F295" s="500"/>
      <c r="G295" s="501"/>
      <c r="H295" s="500"/>
      <c r="I295" s="502"/>
      <c r="J295" s="503"/>
      <c r="K295" s="375"/>
      <c r="L295" s="811"/>
      <c r="M295" s="593"/>
      <c r="N295" s="594"/>
      <c r="O295" s="594"/>
      <c r="P295" s="595"/>
      <c r="Q295" s="596"/>
      <c r="R295" s="632"/>
      <c r="S295" s="632"/>
      <c r="T295" s="518"/>
    </row>
    <row r="296" spans="1:20" ht="2.25" hidden="1" customHeight="1">
      <c r="A296" s="370"/>
      <c r="B296" s="369"/>
      <c r="C296" s="790"/>
      <c r="D296" s="499"/>
      <c r="E296" s="632"/>
      <c r="F296" s="500"/>
      <c r="G296" s="501"/>
      <c r="H296" s="500"/>
      <c r="I296" s="502"/>
      <c r="J296" s="503"/>
      <c r="K296" s="375"/>
      <c r="L296" s="804"/>
      <c r="M296" s="376"/>
      <c r="N296" s="590"/>
      <c r="O296" s="590"/>
      <c r="P296" s="591"/>
      <c r="Q296" s="592"/>
      <c r="R296" s="632"/>
      <c r="S296" s="632"/>
      <c r="T296" s="518"/>
    </row>
    <row r="297" spans="1:20" ht="15">
      <c r="A297" s="380"/>
      <c r="B297" s="381"/>
      <c r="C297" s="382"/>
      <c r="D297" s="383"/>
      <c r="E297" s="384"/>
      <c r="F297" s="385"/>
      <c r="G297" s="386"/>
      <c r="H297" s="385"/>
      <c r="I297" s="387"/>
      <c r="J297" s="386"/>
      <c r="K297" s="388"/>
      <c r="L297" s="519"/>
      <c r="M297" s="520"/>
      <c r="N297" s="521"/>
      <c r="O297" s="521"/>
      <c r="P297" s="373"/>
      <c r="Q297" s="517"/>
      <c r="R297" s="632"/>
      <c r="S297" s="632"/>
      <c r="T297" s="518"/>
    </row>
    <row r="298" spans="1:20" ht="15" customHeight="1">
      <c r="A298" s="497" t="e">
        <f>A293+1</f>
        <v>#REF!</v>
      </c>
      <c r="B298" s="498" t="s">
        <v>158</v>
      </c>
      <c r="C298" s="789" t="s">
        <v>161</v>
      </c>
      <c r="D298" s="499" t="s">
        <v>27</v>
      </c>
      <c r="E298" s="632">
        <v>6</v>
      </c>
      <c r="F298" s="500"/>
      <c r="G298" s="501">
        <v>0.79</v>
      </c>
      <c r="H298" s="500"/>
      <c r="I298" s="502"/>
      <c r="J298" s="503">
        <v>0.06</v>
      </c>
      <c r="K298" s="375"/>
      <c r="L298" s="504"/>
      <c r="M298" s="505"/>
      <c r="N298" s="506"/>
      <c r="O298" s="506"/>
      <c r="P298" s="358"/>
      <c r="Q298" s="507"/>
      <c r="R298" s="368">
        <f>G299+J299</f>
        <v>1.5301290000000001</v>
      </c>
      <c r="S298" s="794"/>
      <c r="T298" s="801"/>
    </row>
    <row r="299" spans="1:20" ht="9.75" customHeight="1">
      <c r="A299" s="370"/>
      <c r="B299" s="498"/>
      <c r="C299" s="790"/>
      <c r="D299" s="499"/>
      <c r="E299" s="632"/>
      <c r="F299" s="500"/>
      <c r="G299" s="359">
        <f>G298*$J$13/1000</f>
        <v>1.3720404000000002</v>
      </c>
      <c r="H299" s="500"/>
      <c r="I299" s="502"/>
      <c r="J299" s="359">
        <f>J298*$Q$13/1000</f>
        <v>0.1580886</v>
      </c>
      <c r="K299" s="375"/>
      <c r="L299" s="803" t="s">
        <v>162</v>
      </c>
      <c r="M299" s="585" t="s">
        <v>27</v>
      </c>
      <c r="N299" s="586">
        <v>1</v>
      </c>
      <c r="O299" s="587">
        <f>E298*N299</f>
        <v>6</v>
      </c>
      <c r="P299" s="588">
        <v>3.7</v>
      </c>
      <c r="Q299" s="589">
        <f>N299*P299*$N$11</f>
        <v>4.2230493900000008</v>
      </c>
      <c r="R299" s="632">
        <f>SUM(Q299:Q299)</f>
        <v>4.2230493900000008</v>
      </c>
      <c r="S299" s="795"/>
      <c r="T299" s="802"/>
    </row>
    <row r="300" spans="1:20" ht="12" hidden="1">
      <c r="A300" s="370"/>
      <c r="B300" s="369"/>
      <c r="C300" s="790"/>
      <c r="D300" s="499"/>
      <c r="E300" s="632"/>
      <c r="F300" s="500"/>
      <c r="G300" s="501"/>
      <c r="H300" s="500"/>
      <c r="I300" s="502"/>
      <c r="J300" s="503"/>
      <c r="K300" s="375"/>
      <c r="L300" s="811"/>
      <c r="M300" s="593"/>
      <c r="N300" s="594"/>
      <c r="O300" s="594"/>
      <c r="P300" s="595"/>
      <c r="Q300" s="596"/>
      <c r="R300" s="632"/>
      <c r="S300" s="632"/>
      <c r="T300" s="518"/>
    </row>
    <row r="301" spans="1:20" ht="12" hidden="1">
      <c r="A301" s="370"/>
      <c r="B301" s="369"/>
      <c r="C301" s="790"/>
      <c r="D301" s="499"/>
      <c r="E301" s="632"/>
      <c r="F301" s="500"/>
      <c r="G301" s="501"/>
      <c r="H301" s="500"/>
      <c r="I301" s="502"/>
      <c r="J301" s="503"/>
      <c r="K301" s="375"/>
      <c r="L301" s="804"/>
      <c r="M301" s="376"/>
      <c r="N301" s="590"/>
      <c r="O301" s="590"/>
      <c r="P301" s="591"/>
      <c r="Q301" s="592"/>
      <c r="R301" s="632"/>
      <c r="S301" s="632"/>
      <c r="T301" s="518"/>
    </row>
    <row r="302" spans="1:20" ht="10.5" customHeight="1">
      <c r="A302" s="380"/>
      <c r="B302" s="381"/>
      <c r="C302" s="382"/>
      <c r="D302" s="383"/>
      <c r="E302" s="384"/>
      <c r="F302" s="385"/>
      <c r="G302" s="386"/>
      <c r="H302" s="385"/>
      <c r="I302" s="387"/>
      <c r="J302" s="386"/>
      <c r="K302" s="388"/>
      <c r="L302" s="519"/>
      <c r="M302" s="520"/>
      <c r="N302" s="521"/>
      <c r="O302" s="521"/>
      <c r="P302" s="373"/>
      <c r="Q302" s="517"/>
      <c r="R302" s="632"/>
      <c r="S302" s="632"/>
      <c r="T302" s="518"/>
    </row>
    <row r="303" spans="1:20" ht="12.75" customHeight="1">
      <c r="A303" s="497" t="e">
        <f>A298+1</f>
        <v>#REF!</v>
      </c>
      <c r="B303" s="498" t="s">
        <v>158</v>
      </c>
      <c r="C303" s="789" t="s">
        <v>163</v>
      </c>
      <c r="D303" s="499" t="s">
        <v>33</v>
      </c>
      <c r="E303" s="632">
        <f>31*5.5/1000</f>
        <v>0.17050000000000001</v>
      </c>
      <c r="F303" s="500"/>
      <c r="G303" s="501">
        <v>190</v>
      </c>
      <c r="H303" s="500"/>
      <c r="I303" s="502"/>
      <c r="J303" s="503">
        <v>162</v>
      </c>
      <c r="K303" s="375"/>
      <c r="L303" s="504"/>
      <c r="M303" s="505"/>
      <c r="N303" s="506"/>
      <c r="O303" s="506"/>
      <c r="P303" s="358"/>
      <c r="Q303" s="507"/>
      <c r="R303" s="368">
        <f>G304+J304</f>
        <v>756.82362000000001</v>
      </c>
      <c r="S303" s="794"/>
      <c r="T303" s="801"/>
    </row>
    <row r="304" spans="1:20" ht="6" customHeight="1">
      <c r="A304" s="370"/>
      <c r="B304" s="498"/>
      <c r="C304" s="790"/>
      <c r="D304" s="499"/>
      <c r="E304" s="632"/>
      <c r="F304" s="500"/>
      <c r="G304" s="359">
        <f>G303*$J$13/1000</f>
        <v>329.98440000000005</v>
      </c>
      <c r="H304" s="500"/>
      <c r="I304" s="502"/>
      <c r="J304" s="359">
        <f>J303*$Q$13/1000</f>
        <v>426.83921999999995</v>
      </c>
      <c r="K304" s="375"/>
      <c r="L304" s="803" t="s">
        <v>164</v>
      </c>
      <c r="M304" s="585" t="s">
        <v>33</v>
      </c>
      <c r="N304" s="586">
        <v>1</v>
      </c>
      <c r="O304" s="587">
        <f>E303*N304</f>
        <v>0.17050000000000001</v>
      </c>
      <c r="P304" s="588">
        <v>750</v>
      </c>
      <c r="Q304" s="589">
        <f>N304*P304*$N$11</f>
        <v>856.02352500000018</v>
      </c>
      <c r="R304" s="632">
        <f>SUM(Q304:Q304)</f>
        <v>856.02352500000018</v>
      </c>
      <c r="S304" s="795"/>
      <c r="T304" s="802"/>
    </row>
    <row r="305" spans="1:20" ht="12" hidden="1">
      <c r="A305" s="370"/>
      <c r="B305" s="369"/>
      <c r="C305" s="790"/>
      <c r="D305" s="499"/>
      <c r="E305" s="632"/>
      <c r="F305" s="500"/>
      <c r="G305" s="501"/>
      <c r="H305" s="500"/>
      <c r="I305" s="502"/>
      <c r="J305" s="503"/>
      <c r="K305" s="375"/>
      <c r="L305" s="811"/>
      <c r="M305" s="593"/>
      <c r="N305" s="594"/>
      <c r="O305" s="594"/>
      <c r="P305" s="595"/>
      <c r="Q305" s="596"/>
      <c r="R305" s="632"/>
      <c r="S305" s="632"/>
      <c r="T305" s="518"/>
    </row>
    <row r="306" spans="1:20" ht="12" hidden="1">
      <c r="A306" s="370"/>
      <c r="B306" s="369"/>
      <c r="C306" s="790"/>
      <c r="D306" s="499"/>
      <c r="E306" s="632"/>
      <c r="F306" s="500"/>
      <c r="G306" s="501"/>
      <c r="H306" s="500"/>
      <c r="I306" s="502"/>
      <c r="J306" s="503"/>
      <c r="K306" s="375"/>
      <c r="L306" s="804"/>
      <c r="M306" s="376"/>
      <c r="N306" s="590"/>
      <c r="O306" s="590"/>
      <c r="P306" s="591"/>
      <c r="Q306" s="592"/>
      <c r="R306" s="632"/>
      <c r="S306" s="632"/>
      <c r="T306" s="518"/>
    </row>
    <row r="307" spans="1:20" ht="15">
      <c r="A307" s="380"/>
      <c r="B307" s="381"/>
      <c r="C307" s="382"/>
      <c r="D307" s="383"/>
      <c r="E307" s="384"/>
      <c r="F307" s="385"/>
      <c r="G307" s="386"/>
      <c r="H307" s="385"/>
      <c r="I307" s="387"/>
      <c r="J307" s="386"/>
      <c r="K307" s="388"/>
      <c r="L307" s="519"/>
      <c r="M307" s="520"/>
      <c r="N307" s="521"/>
      <c r="O307" s="521"/>
      <c r="P307" s="373"/>
      <c r="Q307" s="517"/>
      <c r="R307" s="632"/>
      <c r="S307" s="632"/>
      <c r="T307" s="518"/>
    </row>
    <row r="308" spans="1:20" ht="13.5" customHeight="1">
      <c r="A308" s="529" t="e">
        <f>A303+1</f>
        <v>#REF!</v>
      </c>
      <c r="B308" s="638" t="s">
        <v>63</v>
      </c>
      <c r="C308" s="792" t="s">
        <v>180</v>
      </c>
      <c r="D308" s="542" t="s">
        <v>45</v>
      </c>
      <c r="E308" s="636">
        <f>15/100</f>
        <v>0.15</v>
      </c>
      <c r="F308" s="543"/>
      <c r="G308" s="575">
        <v>38.4</v>
      </c>
      <c r="H308" s="543"/>
      <c r="I308" s="544"/>
      <c r="J308" s="575">
        <v>0.03</v>
      </c>
      <c r="K308" s="545"/>
      <c r="L308" s="566"/>
      <c r="M308" s="567"/>
      <c r="N308" s="597"/>
      <c r="O308" s="597"/>
      <c r="P308" s="531"/>
      <c r="Q308" s="570"/>
      <c r="R308" s="540">
        <f>G309+J309</f>
        <v>66.770628300000013</v>
      </c>
      <c r="S308" s="794"/>
      <c r="T308" s="796"/>
    </row>
    <row r="309" spans="1:20" ht="8.25" customHeight="1">
      <c r="A309" s="541"/>
      <c r="B309" s="638" t="s">
        <v>64</v>
      </c>
      <c r="C309" s="793"/>
      <c r="D309" s="542"/>
      <c r="E309" s="636"/>
      <c r="F309" s="543"/>
      <c r="G309" s="463">
        <f>G308*$J$13/1000</f>
        <v>66.691584000000006</v>
      </c>
      <c r="H309" s="543"/>
      <c r="I309" s="544"/>
      <c r="J309" s="463">
        <f>J308*$Q$13/1000</f>
        <v>7.9044299999999998E-2</v>
      </c>
      <c r="K309" s="545"/>
      <c r="L309" s="598" t="s">
        <v>49</v>
      </c>
      <c r="M309" s="599" t="s">
        <v>42</v>
      </c>
      <c r="N309" s="600">
        <v>27.3</v>
      </c>
      <c r="O309" s="601">
        <f>E308*N309</f>
        <v>4.0949999999999998</v>
      </c>
      <c r="P309" s="602">
        <v>1.02</v>
      </c>
      <c r="Q309" s="574">
        <f>N309*P309*$N$11</f>
        <v>31.782441436200006</v>
      </c>
      <c r="R309" s="636">
        <f>SUM(Q309:Q309)</f>
        <v>31.782441436200006</v>
      </c>
      <c r="S309" s="795"/>
      <c r="T309" s="797"/>
    </row>
    <row r="310" spans="1:20" ht="12" hidden="1">
      <c r="A310" s="541"/>
      <c r="B310" s="603"/>
      <c r="C310" s="793"/>
      <c r="D310" s="542"/>
      <c r="E310" s="636"/>
      <c r="F310" s="543"/>
      <c r="G310" s="575"/>
      <c r="H310" s="543"/>
      <c r="I310" s="544"/>
      <c r="J310" s="575"/>
      <c r="K310" s="545"/>
      <c r="L310" s="580"/>
      <c r="M310" s="581"/>
      <c r="N310" s="604"/>
      <c r="O310" s="604"/>
      <c r="P310" s="543"/>
      <c r="Q310" s="584"/>
      <c r="R310" s="636"/>
      <c r="S310" s="636"/>
      <c r="T310" s="579"/>
    </row>
    <row r="311" spans="1:20" ht="12" hidden="1">
      <c r="A311" s="541"/>
      <c r="B311" s="603"/>
      <c r="C311" s="793"/>
      <c r="D311" s="542"/>
      <c r="E311" s="636"/>
      <c r="F311" s="543"/>
      <c r="G311" s="575"/>
      <c r="H311" s="543"/>
      <c r="I311" s="544"/>
      <c r="J311" s="575"/>
      <c r="K311" s="545"/>
      <c r="L311" s="580"/>
      <c r="M311" s="581"/>
      <c r="N311" s="604"/>
      <c r="O311" s="604"/>
      <c r="P311" s="543"/>
      <c r="Q311" s="584"/>
      <c r="R311" s="636"/>
      <c r="S311" s="636"/>
      <c r="T311" s="579"/>
    </row>
    <row r="312" spans="1:20" ht="15">
      <c r="A312" s="551"/>
      <c r="B312" s="552"/>
      <c r="C312" s="553"/>
      <c r="D312" s="554"/>
      <c r="E312" s="555"/>
      <c r="F312" s="556"/>
      <c r="G312" s="557"/>
      <c r="H312" s="556"/>
      <c r="I312" s="558"/>
      <c r="J312" s="557"/>
      <c r="K312" s="559"/>
      <c r="L312" s="560"/>
      <c r="M312" s="561"/>
      <c r="N312" s="605"/>
      <c r="O312" s="605"/>
      <c r="P312" s="556"/>
      <c r="Q312" s="564"/>
      <c r="R312" s="555"/>
      <c r="S312" s="555"/>
      <c r="T312" s="565"/>
    </row>
    <row r="313" spans="1:20" ht="12" customHeight="1">
      <c r="A313" s="355" t="e">
        <f>A308+1</f>
        <v>#REF!</v>
      </c>
      <c r="B313" s="356" t="s">
        <v>165</v>
      </c>
      <c r="C313" s="789" t="s">
        <v>166</v>
      </c>
      <c r="D313" s="357" t="s">
        <v>24</v>
      </c>
      <c r="E313" s="631">
        <f>370/100</f>
        <v>3.7</v>
      </c>
      <c r="F313" s="358"/>
      <c r="G313" s="359">
        <v>3.73</v>
      </c>
      <c r="H313" s="358"/>
      <c r="I313" s="360"/>
      <c r="J313" s="359">
        <v>0</v>
      </c>
      <c r="K313" s="361"/>
      <c r="L313" s="523"/>
      <c r="M313" s="363"/>
      <c r="N313" s="524"/>
      <c r="O313" s="525"/>
      <c r="P313" s="366"/>
      <c r="Q313" s="367"/>
      <c r="R313" s="368">
        <f>G314+J314</f>
        <v>6.4781148000000002</v>
      </c>
      <c r="S313" s="794"/>
      <c r="T313" s="633"/>
    </row>
    <row r="314" spans="1:20" ht="12">
      <c r="A314" s="370"/>
      <c r="B314" s="371" t="s">
        <v>167</v>
      </c>
      <c r="C314" s="790"/>
      <c r="D314" s="372"/>
      <c r="E314" s="632"/>
      <c r="F314" s="373"/>
      <c r="G314" s="359">
        <f>G313*$J$13/1000</f>
        <v>6.4781148000000002</v>
      </c>
      <c r="H314" s="373"/>
      <c r="I314" s="502"/>
      <c r="J314" s="359">
        <f>J313*$Q$13/1000</f>
        <v>0</v>
      </c>
      <c r="K314" s="375"/>
      <c r="L314" s="519"/>
      <c r="M314" s="520"/>
      <c r="N314" s="521"/>
      <c r="O314" s="526"/>
      <c r="P314" s="373"/>
      <c r="Q314" s="517"/>
      <c r="R314" s="632"/>
      <c r="S314" s="795"/>
      <c r="T314" s="518"/>
    </row>
    <row r="315" spans="1:20" ht="15">
      <c r="A315" s="380"/>
      <c r="B315" s="381"/>
      <c r="C315" s="382"/>
      <c r="D315" s="383"/>
      <c r="E315" s="384"/>
      <c r="F315" s="385"/>
      <c r="G315" s="386"/>
      <c r="H315" s="385"/>
      <c r="I315" s="387"/>
      <c r="J315" s="386"/>
      <c r="K315" s="388"/>
      <c r="L315" s="389"/>
      <c r="M315" s="390"/>
      <c r="N315" s="606"/>
      <c r="O315" s="607"/>
      <c r="P315" s="385"/>
      <c r="Q315" s="393"/>
      <c r="R315" s="384"/>
      <c r="S315" s="384"/>
      <c r="T315" s="394"/>
    </row>
    <row r="316" spans="1:20" ht="9" customHeight="1">
      <c r="A316" s="497" t="e">
        <f>A313+1</f>
        <v>#REF!</v>
      </c>
      <c r="B316" s="498" t="s">
        <v>158</v>
      </c>
      <c r="C316" s="789" t="s">
        <v>178</v>
      </c>
      <c r="D316" s="499" t="s">
        <v>27</v>
      </c>
      <c r="E316" s="632">
        <v>1</v>
      </c>
      <c r="F316" s="500"/>
      <c r="G316" s="501">
        <v>0.79</v>
      </c>
      <c r="H316" s="500"/>
      <c r="I316" s="502"/>
      <c r="J316" s="503">
        <v>0.06</v>
      </c>
      <c r="K316" s="375"/>
      <c r="L316" s="504"/>
      <c r="M316" s="505"/>
      <c r="N316" s="506"/>
      <c r="O316" s="506"/>
      <c r="P316" s="358"/>
      <c r="Q316" s="507"/>
      <c r="R316" s="368">
        <f>G317+J317</f>
        <v>1.5301290000000001</v>
      </c>
      <c r="S316" s="794"/>
      <c r="T316" s="801"/>
    </row>
    <row r="317" spans="1:20" ht="12">
      <c r="A317" s="370"/>
      <c r="B317" s="498"/>
      <c r="C317" s="790"/>
      <c r="D317" s="499"/>
      <c r="E317" s="632"/>
      <c r="F317" s="500"/>
      <c r="G317" s="359">
        <f>G316*$J$13/1000</f>
        <v>1.3720404000000002</v>
      </c>
      <c r="H317" s="500"/>
      <c r="I317" s="502"/>
      <c r="J317" s="359">
        <f>J316*$Q$13/1000</f>
        <v>0.1580886</v>
      </c>
      <c r="K317" s="375"/>
      <c r="L317" s="803" t="s">
        <v>179</v>
      </c>
      <c r="M317" s="585" t="s">
        <v>27</v>
      </c>
      <c r="N317" s="586">
        <v>1</v>
      </c>
      <c r="O317" s="587">
        <f>E316*N317</f>
        <v>1</v>
      </c>
      <c r="P317" s="588">
        <v>155</v>
      </c>
      <c r="Q317" s="589">
        <f>N317*P317*$N$11</f>
        <v>176.91152850000003</v>
      </c>
      <c r="R317" s="632">
        <f>SUM(Q317:Q317)</f>
        <v>176.91152850000003</v>
      </c>
      <c r="S317" s="795"/>
      <c r="T317" s="802"/>
    </row>
    <row r="318" spans="1:20" ht="12" hidden="1">
      <c r="A318" s="370"/>
      <c r="B318" s="369"/>
      <c r="C318" s="790"/>
      <c r="D318" s="499"/>
      <c r="E318" s="632"/>
      <c r="F318" s="500"/>
      <c r="G318" s="501"/>
      <c r="H318" s="500"/>
      <c r="I318" s="502"/>
      <c r="J318" s="503"/>
      <c r="K318" s="375"/>
      <c r="L318" s="811"/>
      <c r="M318" s="593"/>
      <c r="N318" s="594"/>
      <c r="O318" s="594"/>
      <c r="P318" s="595"/>
      <c r="Q318" s="596"/>
      <c r="R318" s="632"/>
      <c r="S318" s="632"/>
      <c r="T318" s="518"/>
    </row>
    <row r="319" spans="1:20" ht="2.25" hidden="1" customHeight="1">
      <c r="A319" s="370"/>
      <c r="B319" s="369"/>
      <c r="C319" s="790"/>
      <c r="D319" s="499"/>
      <c r="E319" s="632"/>
      <c r="F319" s="500"/>
      <c r="G319" s="501"/>
      <c r="H319" s="500"/>
      <c r="I319" s="502"/>
      <c r="J319" s="503"/>
      <c r="K319" s="375"/>
      <c r="L319" s="804"/>
      <c r="M319" s="376"/>
      <c r="N319" s="590"/>
      <c r="O319" s="590"/>
      <c r="P319" s="591"/>
      <c r="Q319" s="592"/>
      <c r="R319" s="632"/>
      <c r="S319" s="632"/>
      <c r="T319" s="518"/>
    </row>
    <row r="320" spans="1:20" ht="15">
      <c r="A320" s="380"/>
      <c r="B320" s="381"/>
      <c r="C320" s="382"/>
      <c r="D320" s="383"/>
      <c r="E320" s="384"/>
      <c r="F320" s="385"/>
      <c r="G320" s="386"/>
      <c r="H320" s="385"/>
      <c r="I320" s="387"/>
      <c r="J320" s="386"/>
      <c r="K320" s="388"/>
      <c r="L320" s="519"/>
      <c r="M320" s="520"/>
      <c r="N320" s="521"/>
      <c r="O320" s="521"/>
      <c r="P320" s="373"/>
      <c r="Q320" s="517"/>
      <c r="R320" s="632"/>
      <c r="S320" s="632"/>
      <c r="T320" s="518"/>
    </row>
    <row r="321" spans="1:20" thickBot="1">
      <c r="A321" s="684"/>
      <c r="B321" s="685"/>
      <c r="C321" s="686" t="s">
        <v>25</v>
      </c>
      <c r="D321" s="687"/>
      <c r="E321" s="688"/>
      <c r="F321" s="689"/>
      <c r="G321" s="690"/>
      <c r="H321" s="689"/>
      <c r="I321" s="689"/>
      <c r="J321" s="690"/>
      <c r="K321" s="689"/>
      <c r="L321" s="691"/>
      <c r="M321" s="692"/>
      <c r="N321" s="693"/>
      <c r="O321" s="694"/>
      <c r="P321" s="689"/>
      <c r="Q321" s="690"/>
      <c r="R321" s="694"/>
      <c r="S321" s="694"/>
      <c r="T321" s="695"/>
    </row>
    <row r="322" spans="1:20" ht="12.75" customHeight="1">
      <c r="A322" s="666"/>
      <c r="B322" s="667"/>
      <c r="C322" s="812" t="s">
        <v>181</v>
      </c>
      <c r="D322" s="812"/>
      <c r="E322" s="812"/>
      <c r="F322" s="670"/>
      <c r="G322" s="671"/>
      <c r="H322" s="670"/>
      <c r="I322" s="670"/>
      <c r="J322" s="671"/>
      <c r="K322" s="670"/>
      <c r="L322" s="672"/>
      <c r="M322" s="673"/>
      <c r="N322" s="674"/>
      <c r="O322" s="669"/>
      <c r="P322" s="670"/>
      <c r="Q322" s="671"/>
      <c r="R322" s="669"/>
      <c r="S322" s="669"/>
      <c r="T322" s="707">
        <v>0.12640000000000001</v>
      </c>
    </row>
    <row r="323" spans="1:20" ht="12.75" customHeight="1" thickBot="1">
      <c r="A323" s="675"/>
      <c r="B323" s="676"/>
      <c r="C323" s="813"/>
      <c r="D323" s="813"/>
      <c r="E323" s="813"/>
      <c r="F323" s="679"/>
      <c r="G323" s="680"/>
      <c r="H323" s="679"/>
      <c r="I323" s="679"/>
      <c r="J323" s="680"/>
      <c r="K323" s="679"/>
      <c r="L323" s="681"/>
      <c r="M323" s="682"/>
      <c r="N323" s="683"/>
      <c r="O323" s="678"/>
      <c r="P323" s="679"/>
      <c r="Q323" s="680"/>
      <c r="R323" s="678"/>
      <c r="S323" s="678"/>
      <c r="T323" s="708"/>
    </row>
    <row r="324" spans="1:20" ht="12">
      <c r="A324" s="325">
        <v>1</v>
      </c>
      <c r="B324" s="645" t="s">
        <v>183</v>
      </c>
      <c r="C324" s="800" t="s">
        <v>93</v>
      </c>
      <c r="D324" s="326" t="s">
        <v>35</v>
      </c>
      <c r="E324" s="640">
        <f>4.5</f>
        <v>4.5</v>
      </c>
      <c r="F324" s="327"/>
      <c r="G324" s="328">
        <f>205/100</f>
        <v>2.0499999999999998</v>
      </c>
      <c r="H324" s="327"/>
      <c r="I324" s="329"/>
      <c r="J324" s="328"/>
      <c r="K324" s="330"/>
      <c r="L324" s="408"/>
      <c r="M324" s="409"/>
      <c r="N324" s="410"/>
      <c r="O324" s="651"/>
      <c r="P324" s="351"/>
      <c r="Q324" s="411"/>
      <c r="R324" s="350">
        <f>G325+J325</f>
        <v>0</v>
      </c>
      <c r="S324" s="640"/>
      <c r="T324" s="642"/>
    </row>
    <row r="325" spans="1:20" ht="12">
      <c r="A325" s="339"/>
      <c r="B325" s="645" t="s">
        <v>184</v>
      </c>
      <c r="C325" s="800"/>
      <c r="D325" s="326"/>
      <c r="E325" s="640"/>
      <c r="F325" s="327"/>
      <c r="G325" s="340">
        <f>G324*$J$12/1000</f>
        <v>0</v>
      </c>
      <c r="H325" s="327"/>
      <c r="I325" s="329"/>
      <c r="J325" s="340"/>
      <c r="K325" s="330"/>
      <c r="L325" s="341"/>
      <c r="M325" s="342"/>
      <c r="N325" s="343"/>
      <c r="O325" s="344"/>
      <c r="P325" s="327"/>
      <c r="Q325" s="345"/>
      <c r="R325" s="640"/>
      <c r="S325" s="640"/>
      <c r="T325" s="346"/>
    </row>
    <row r="326" spans="1:20">
      <c r="A326" s="347"/>
      <c r="B326" s="348"/>
      <c r="C326" s="349"/>
      <c r="D326" s="649"/>
      <c r="E326" s="350"/>
      <c r="F326" s="351"/>
      <c r="G326" s="352"/>
      <c r="H326" s="351"/>
      <c r="I326" s="353"/>
      <c r="J326" s="352"/>
      <c r="K326" s="354"/>
      <c r="L326" s="341"/>
      <c r="M326" s="342"/>
      <c r="N326" s="343"/>
      <c r="O326" s="344"/>
      <c r="P326" s="327"/>
      <c r="Q326" s="345"/>
      <c r="R326" s="640"/>
      <c r="S326" s="640"/>
      <c r="T326" s="346"/>
    </row>
    <row r="327" spans="1:20" ht="12">
      <c r="A327" s="325">
        <f>A324+1</f>
        <v>2</v>
      </c>
      <c r="B327" s="645" t="s">
        <v>185</v>
      </c>
      <c r="C327" s="799" t="s">
        <v>186</v>
      </c>
      <c r="D327" s="326" t="s">
        <v>35</v>
      </c>
      <c r="E327" s="640">
        <f>4.5</f>
        <v>4.5</v>
      </c>
      <c r="F327" s="327"/>
      <c r="G327" s="328">
        <f>56.2/100</f>
        <v>0.56200000000000006</v>
      </c>
      <c r="H327" s="327"/>
      <c r="I327" s="329"/>
      <c r="J327" s="328"/>
      <c r="K327" s="330"/>
      <c r="L327" s="331"/>
      <c r="M327" s="332"/>
      <c r="N327" s="333"/>
      <c r="O327" s="334"/>
      <c r="P327" s="335"/>
      <c r="Q327" s="336"/>
      <c r="R327" s="337">
        <f>G328+J328</f>
        <v>0</v>
      </c>
      <c r="S327" s="640"/>
      <c r="T327" s="641"/>
    </row>
    <row r="328" spans="1:20" ht="12">
      <c r="A328" s="339"/>
      <c r="B328" s="645" t="s">
        <v>184</v>
      </c>
      <c r="C328" s="800"/>
      <c r="D328" s="326"/>
      <c r="E328" s="640"/>
      <c r="F328" s="327"/>
      <c r="G328" s="340">
        <f>G327*$J$12/1000</f>
        <v>0</v>
      </c>
      <c r="H328" s="327"/>
      <c r="I328" s="329"/>
      <c r="J328" s="340"/>
      <c r="K328" s="330"/>
      <c r="L328" s="341"/>
      <c r="M328" s="342"/>
      <c r="N328" s="343"/>
      <c r="O328" s="344"/>
      <c r="P328" s="327"/>
      <c r="Q328" s="345"/>
      <c r="R328" s="640"/>
      <c r="S328" s="640"/>
      <c r="T328" s="346"/>
    </row>
    <row r="329" spans="1:20">
      <c r="A329" s="347"/>
      <c r="B329" s="348"/>
      <c r="C329" s="349"/>
      <c r="D329" s="649"/>
      <c r="E329" s="350"/>
      <c r="F329" s="351"/>
      <c r="G329" s="352"/>
      <c r="H329" s="351"/>
      <c r="I329" s="353"/>
      <c r="J329" s="352"/>
      <c r="K329" s="354"/>
      <c r="L329" s="341"/>
      <c r="M329" s="342"/>
      <c r="N329" s="343"/>
      <c r="O329" s="344"/>
      <c r="P329" s="327"/>
      <c r="Q329" s="345"/>
      <c r="R329" s="640"/>
      <c r="S329" s="640"/>
      <c r="T329" s="346"/>
    </row>
    <row r="330" spans="1:20" ht="12">
      <c r="A330" s="325">
        <f>A327+1</f>
        <v>3</v>
      </c>
      <c r="B330" s="645" t="s">
        <v>185</v>
      </c>
      <c r="C330" s="799" t="s">
        <v>187</v>
      </c>
      <c r="D330" s="326" t="s">
        <v>35</v>
      </c>
      <c r="E330" s="640">
        <f>0.48*32</f>
        <v>15.36</v>
      </c>
      <c r="F330" s="327"/>
      <c r="G330" s="328">
        <f>56.2/100</f>
        <v>0.56200000000000006</v>
      </c>
      <c r="H330" s="327"/>
      <c r="I330" s="329"/>
      <c r="J330" s="328"/>
      <c r="K330" s="330"/>
      <c r="L330" s="331"/>
      <c r="M330" s="332"/>
      <c r="N330" s="333"/>
      <c r="O330" s="334"/>
      <c r="P330" s="335"/>
      <c r="Q330" s="336"/>
      <c r="R330" s="337">
        <f>G331+J331</f>
        <v>0</v>
      </c>
      <c r="S330" s="640"/>
      <c r="T330" s="641"/>
    </row>
    <row r="331" spans="1:20" ht="12">
      <c r="A331" s="339"/>
      <c r="B331" s="645" t="s">
        <v>184</v>
      </c>
      <c r="C331" s="800"/>
      <c r="D331" s="326"/>
      <c r="E331" s="640"/>
      <c r="F331" s="327"/>
      <c r="G331" s="340">
        <f>G330*$J$12/1000</f>
        <v>0</v>
      </c>
      <c r="H331" s="327"/>
      <c r="I331" s="329"/>
      <c r="J331" s="340"/>
      <c r="K331" s="330"/>
      <c r="L331" s="341"/>
      <c r="M331" s="342"/>
      <c r="N331" s="343"/>
      <c r="O331" s="344"/>
      <c r="P331" s="327"/>
      <c r="Q331" s="345"/>
      <c r="R331" s="640"/>
      <c r="S331" s="640"/>
      <c r="T331" s="346"/>
    </row>
    <row r="332" spans="1:20">
      <c r="A332" s="347"/>
      <c r="B332" s="348"/>
      <c r="C332" s="349"/>
      <c r="D332" s="649"/>
      <c r="E332" s="350"/>
      <c r="F332" s="351"/>
      <c r="G332" s="352"/>
      <c r="H332" s="351"/>
      <c r="I332" s="353"/>
      <c r="J332" s="352"/>
      <c r="K332" s="354"/>
      <c r="L332" s="341"/>
      <c r="M332" s="342"/>
      <c r="N332" s="343"/>
      <c r="O332" s="344"/>
      <c r="P332" s="327"/>
      <c r="Q332" s="345"/>
      <c r="R332" s="640"/>
      <c r="S332" s="640"/>
      <c r="T332" s="346"/>
    </row>
    <row r="333" spans="1:20" ht="12">
      <c r="A333" s="355">
        <f>A330+1</f>
        <v>4</v>
      </c>
      <c r="B333" s="356" t="s">
        <v>34</v>
      </c>
      <c r="C333" s="789" t="s">
        <v>188</v>
      </c>
      <c r="D333" s="357" t="s">
        <v>35</v>
      </c>
      <c r="E333" s="631">
        <f>0.05*13</f>
        <v>0.65</v>
      </c>
      <c r="F333" s="358"/>
      <c r="G333" s="359">
        <v>1.82</v>
      </c>
      <c r="H333" s="358"/>
      <c r="I333" s="360"/>
      <c r="J333" s="359">
        <v>1.06</v>
      </c>
      <c r="K333" s="361"/>
      <c r="L333" s="362"/>
      <c r="M333" s="363"/>
      <c r="N333" s="364"/>
      <c r="O333" s="365"/>
      <c r="P333" s="366"/>
      <c r="Q333" s="367"/>
      <c r="R333" s="368">
        <f>G334+J334</f>
        <v>0</v>
      </c>
      <c r="S333" s="794"/>
      <c r="T333" s="801"/>
    </row>
    <row r="334" spans="1:20" ht="12">
      <c r="A334" s="370"/>
      <c r="B334" s="371" t="s">
        <v>44</v>
      </c>
      <c r="C334" s="790"/>
      <c r="D334" s="372"/>
      <c r="E334" s="632"/>
      <c r="F334" s="373"/>
      <c r="G334" s="340">
        <f>G333*$J$12/1000</f>
        <v>0</v>
      </c>
      <c r="H334" s="374"/>
      <c r="I334" s="329"/>
      <c r="J334" s="340">
        <f>J333*$Q$12/1000</f>
        <v>0</v>
      </c>
      <c r="K334" s="375"/>
      <c r="L334" s="634" t="s">
        <v>55</v>
      </c>
      <c r="M334" s="376" t="s">
        <v>35</v>
      </c>
      <c r="N334" s="377">
        <f>0.97+0.27</f>
        <v>1.24</v>
      </c>
      <c r="O334" s="377">
        <f>E333*N334</f>
        <v>0.80600000000000005</v>
      </c>
      <c r="P334" s="378">
        <v>4</v>
      </c>
      <c r="Q334" s="379">
        <f>N334*P334*$N$10</f>
        <v>0</v>
      </c>
      <c r="R334" s="632">
        <f>SUM(Q334:Q334)</f>
        <v>0</v>
      </c>
      <c r="S334" s="795"/>
      <c r="T334" s="802"/>
    </row>
    <row r="335" spans="1:20" ht="15">
      <c r="A335" s="380"/>
      <c r="B335" s="381"/>
      <c r="C335" s="382"/>
      <c r="D335" s="383"/>
      <c r="E335" s="384"/>
      <c r="F335" s="385"/>
      <c r="G335" s="386"/>
      <c r="H335" s="385"/>
      <c r="I335" s="387"/>
      <c r="J335" s="386"/>
      <c r="K335" s="388"/>
      <c r="L335" s="389"/>
      <c r="M335" s="390"/>
      <c r="N335" s="391"/>
      <c r="O335" s="392"/>
      <c r="P335" s="385"/>
      <c r="Q335" s="393"/>
      <c r="R335" s="384"/>
      <c r="S335" s="384"/>
      <c r="T335" s="394"/>
    </row>
    <row r="336" spans="1:20" ht="12.75" customHeight="1">
      <c r="A336" s="325">
        <f>A333+1</f>
        <v>5</v>
      </c>
      <c r="B336" s="645" t="s">
        <v>189</v>
      </c>
      <c r="C336" s="799" t="s">
        <v>220</v>
      </c>
      <c r="D336" s="326" t="s">
        <v>35</v>
      </c>
      <c r="E336" s="640">
        <f>0.18*13</f>
        <v>2.34</v>
      </c>
      <c r="F336" s="327"/>
      <c r="G336" s="328">
        <v>0.78</v>
      </c>
      <c r="H336" s="327"/>
      <c r="I336" s="329"/>
      <c r="J336" s="328">
        <v>0.08</v>
      </c>
      <c r="K336" s="330"/>
      <c r="L336" s="395"/>
      <c r="M336" s="396"/>
      <c r="N336" s="397"/>
      <c r="O336" s="397"/>
      <c r="P336" s="398"/>
      <c r="Q336" s="399"/>
      <c r="R336" s="337">
        <f>G337+J337</f>
        <v>0</v>
      </c>
      <c r="S336" s="794"/>
      <c r="T336" s="816"/>
    </row>
    <row r="337" spans="1:20" ht="12">
      <c r="A337" s="339"/>
      <c r="B337" s="645" t="s">
        <v>191</v>
      </c>
      <c r="C337" s="800"/>
      <c r="D337" s="326"/>
      <c r="E337" s="640"/>
      <c r="F337" s="327"/>
      <c r="G337" s="340">
        <f>G336*$J$12/1000</f>
        <v>0</v>
      </c>
      <c r="H337" s="327"/>
      <c r="I337" s="329"/>
      <c r="J337" s="340">
        <f>J336*$Q$12/1000</f>
        <v>0</v>
      </c>
      <c r="K337" s="330"/>
      <c r="L337" s="400" t="s">
        <v>190</v>
      </c>
      <c r="M337" s="401" t="s">
        <v>35</v>
      </c>
      <c r="N337" s="402">
        <v>1</v>
      </c>
      <c r="O337" s="403">
        <f>E336*N337</f>
        <v>2.34</v>
      </c>
      <c r="P337" s="404">
        <v>27.15</v>
      </c>
      <c r="Q337" s="379">
        <f>N337*P337*$N$10</f>
        <v>0</v>
      </c>
      <c r="R337" s="640">
        <f>SUM(Q337:Q337)</f>
        <v>0</v>
      </c>
      <c r="S337" s="795"/>
      <c r="T337" s="817"/>
    </row>
    <row r="338" spans="1:20">
      <c r="A338" s="347"/>
      <c r="B338" s="348"/>
      <c r="C338" s="349"/>
      <c r="D338" s="649"/>
      <c r="E338" s="350"/>
      <c r="F338" s="351"/>
      <c r="G338" s="352"/>
      <c r="H338" s="351"/>
      <c r="I338" s="353"/>
      <c r="J338" s="352"/>
      <c r="K338" s="354"/>
      <c r="L338" s="341"/>
      <c r="M338" s="342"/>
      <c r="N338" s="343"/>
      <c r="O338" s="343"/>
      <c r="P338" s="327"/>
      <c r="Q338" s="345"/>
      <c r="R338" s="640"/>
      <c r="S338" s="640"/>
      <c r="T338" s="346"/>
    </row>
    <row r="339" spans="1:20" ht="15.75" customHeight="1">
      <c r="A339" s="405">
        <f>A336+1</f>
        <v>6</v>
      </c>
      <c r="B339" s="644" t="s">
        <v>192</v>
      </c>
      <c r="C339" s="799" t="s">
        <v>227</v>
      </c>
      <c r="D339" s="647" t="s">
        <v>27</v>
      </c>
      <c r="E339" s="639">
        <v>13</v>
      </c>
      <c r="F339" s="398"/>
      <c r="G339" s="340">
        <v>1.64</v>
      </c>
      <c r="H339" s="398"/>
      <c r="I339" s="406"/>
      <c r="J339" s="340">
        <v>2.0299999999999998</v>
      </c>
      <c r="K339" s="407"/>
      <c r="L339" s="395"/>
      <c r="M339" s="396"/>
      <c r="N339" s="397"/>
      <c r="O339" s="397"/>
      <c r="P339" s="398"/>
      <c r="Q339" s="399"/>
      <c r="R339" s="337">
        <f>G340+J340</f>
        <v>0</v>
      </c>
      <c r="S339" s="794"/>
      <c r="T339" s="816"/>
    </row>
    <row r="340" spans="1:20" ht="12">
      <c r="A340" s="339"/>
      <c r="B340" s="646"/>
      <c r="C340" s="800"/>
      <c r="D340" s="648"/>
      <c r="E340" s="640"/>
      <c r="F340" s="374"/>
      <c r="G340" s="340">
        <f>G339*$J$12/1000</f>
        <v>0</v>
      </c>
      <c r="H340" s="374"/>
      <c r="I340" s="329"/>
      <c r="J340" s="340">
        <f>J339*$Q$12/1000</f>
        <v>0</v>
      </c>
      <c r="K340" s="330"/>
      <c r="L340" s="400"/>
      <c r="M340" s="401"/>
      <c r="N340" s="402"/>
      <c r="O340" s="403"/>
      <c r="P340" s="404"/>
      <c r="Q340" s="379"/>
      <c r="R340" s="640">
        <f>SUM(Q340:Q340)</f>
        <v>0</v>
      </c>
      <c r="S340" s="795"/>
      <c r="T340" s="817"/>
    </row>
    <row r="341" spans="1:20">
      <c r="A341" s="347"/>
      <c r="B341" s="348"/>
      <c r="C341" s="349"/>
      <c r="D341" s="649"/>
      <c r="E341" s="350"/>
      <c r="F341" s="351"/>
      <c r="G341" s="352"/>
      <c r="H341" s="351"/>
      <c r="I341" s="353"/>
      <c r="J341" s="352"/>
      <c r="K341" s="354"/>
      <c r="L341" s="408"/>
      <c r="M341" s="409"/>
      <c r="N341" s="410"/>
      <c r="O341" s="410"/>
      <c r="P341" s="351"/>
      <c r="Q341" s="411"/>
      <c r="R341" s="350"/>
      <c r="S341" s="350"/>
      <c r="T341" s="412"/>
    </row>
    <row r="342" spans="1:20" ht="12">
      <c r="A342" s="405">
        <f>A339+1</f>
        <v>7</v>
      </c>
      <c r="B342" s="814" t="s">
        <v>50</v>
      </c>
      <c r="C342" s="799" t="s">
        <v>228</v>
      </c>
      <c r="D342" s="647" t="s">
        <v>26</v>
      </c>
      <c r="E342" s="639">
        <f>13*3.6</f>
        <v>46.800000000000004</v>
      </c>
      <c r="F342" s="398"/>
      <c r="G342" s="340"/>
      <c r="H342" s="398"/>
      <c r="I342" s="406"/>
      <c r="J342" s="340">
        <v>0</v>
      </c>
      <c r="K342" s="407"/>
      <c r="L342" s="395"/>
      <c r="M342" s="396"/>
      <c r="N342" s="397"/>
      <c r="O342" s="397"/>
      <c r="P342" s="398"/>
      <c r="Q342" s="399"/>
      <c r="R342" s="337">
        <f>G343+J343</f>
        <v>0</v>
      </c>
      <c r="S342" s="794"/>
      <c r="T342" s="816"/>
    </row>
    <row r="343" spans="1:20" ht="10.5" customHeight="1">
      <c r="A343" s="339"/>
      <c r="B343" s="815"/>
      <c r="C343" s="800"/>
      <c r="D343" s="648"/>
      <c r="E343" s="640"/>
      <c r="F343" s="374"/>
      <c r="G343" s="340">
        <f>G342*$J$12/1000</f>
        <v>0</v>
      </c>
      <c r="H343" s="374"/>
      <c r="I343" s="329"/>
      <c r="J343" s="340">
        <f>J342*$Q$12/1000</f>
        <v>0</v>
      </c>
      <c r="K343" s="330"/>
      <c r="L343" s="818" t="s">
        <v>228</v>
      </c>
      <c r="M343" s="413" t="s">
        <v>27</v>
      </c>
      <c r="N343" s="414">
        <v>1</v>
      </c>
      <c r="O343" s="415">
        <f>E342*N343</f>
        <v>46.800000000000004</v>
      </c>
      <c r="P343" s="416">
        <v>4.3789999999999996</v>
      </c>
      <c r="Q343" s="417">
        <f>N343*P343*$N$10</f>
        <v>0</v>
      </c>
      <c r="R343" s="640">
        <f>SUM(Q343:Q343)</f>
        <v>0</v>
      </c>
      <c r="S343" s="795"/>
      <c r="T343" s="817"/>
    </row>
    <row r="344" spans="1:20" ht="12" hidden="1">
      <c r="A344" s="339"/>
      <c r="B344" s="418"/>
      <c r="C344" s="800"/>
      <c r="D344" s="648"/>
      <c r="E344" s="640"/>
      <c r="F344" s="374"/>
      <c r="G344" s="419"/>
      <c r="H344" s="374"/>
      <c r="I344" s="329"/>
      <c r="J344" s="419"/>
      <c r="K344" s="330"/>
      <c r="L344" s="819"/>
      <c r="M344" s="420"/>
      <c r="N344" s="421"/>
      <c r="O344" s="421"/>
      <c r="P344" s="422"/>
      <c r="Q344" s="423"/>
      <c r="R344" s="640"/>
      <c r="S344" s="640"/>
      <c r="T344" s="346"/>
    </row>
    <row r="345" spans="1:20">
      <c r="A345" s="347"/>
      <c r="B345" s="348"/>
      <c r="C345" s="349"/>
      <c r="D345" s="649"/>
      <c r="E345" s="350"/>
      <c r="F345" s="351"/>
      <c r="G345" s="352"/>
      <c r="H345" s="351"/>
      <c r="I345" s="353"/>
      <c r="J345" s="352"/>
      <c r="K345" s="354"/>
      <c r="L345" s="408"/>
      <c r="M345" s="409"/>
      <c r="N345" s="410"/>
      <c r="O345" s="410"/>
      <c r="P345" s="351"/>
      <c r="Q345" s="411"/>
      <c r="R345" s="350"/>
      <c r="S345" s="350"/>
      <c r="T345" s="412"/>
    </row>
    <row r="346" spans="1:20" ht="12">
      <c r="A346" s="405">
        <f>A338+1</f>
        <v>1</v>
      </c>
      <c r="B346" s="644" t="s">
        <v>193</v>
      </c>
      <c r="C346" s="799" t="s">
        <v>229</v>
      </c>
      <c r="D346" s="647" t="s">
        <v>33</v>
      </c>
      <c r="E346" s="424">
        <f>3.05*13/1000</f>
        <v>3.9649999999999998E-2</v>
      </c>
      <c r="F346" s="398"/>
      <c r="G346" s="340">
        <v>124</v>
      </c>
      <c r="H346" s="398"/>
      <c r="I346" s="406"/>
      <c r="J346" s="340">
        <v>1.4</v>
      </c>
      <c r="K346" s="407"/>
      <c r="L346" s="395"/>
      <c r="M346" s="396"/>
      <c r="N346" s="397"/>
      <c r="O346" s="397"/>
      <c r="P346" s="398"/>
      <c r="Q346" s="399"/>
      <c r="R346" s="337">
        <f>G347+J347</f>
        <v>0</v>
      </c>
      <c r="S346" s="794"/>
      <c r="T346" s="816"/>
    </row>
    <row r="347" spans="1:20" ht="12">
      <c r="A347" s="339"/>
      <c r="B347" s="646" t="s">
        <v>195</v>
      </c>
      <c r="C347" s="800"/>
      <c r="D347" s="648"/>
      <c r="E347" s="640"/>
      <c r="F347" s="374"/>
      <c r="G347" s="340">
        <f>G346*$J$12/1000</f>
        <v>0</v>
      </c>
      <c r="H347" s="374"/>
      <c r="I347" s="329"/>
      <c r="J347" s="340">
        <f>J346*$Q$12/1000</f>
        <v>0</v>
      </c>
      <c r="K347" s="330"/>
      <c r="L347" s="818" t="s">
        <v>230</v>
      </c>
      <c r="M347" s="413" t="s">
        <v>33</v>
      </c>
      <c r="N347" s="414">
        <v>1</v>
      </c>
      <c r="O347" s="415">
        <f>E346*N347</f>
        <v>3.9649999999999998E-2</v>
      </c>
      <c r="P347" s="416">
        <v>297.22199999999998</v>
      </c>
      <c r="Q347" s="417">
        <f>N347*P347*$N$10</f>
        <v>0</v>
      </c>
      <c r="R347" s="640">
        <f>SUM(Q347:Q347)</f>
        <v>0</v>
      </c>
      <c r="S347" s="795"/>
      <c r="T347" s="817"/>
    </row>
    <row r="348" spans="1:20" ht="12" hidden="1">
      <c r="A348" s="339"/>
      <c r="B348" s="418"/>
      <c r="C348" s="800"/>
      <c r="D348" s="648"/>
      <c r="E348" s="640"/>
      <c r="F348" s="374"/>
      <c r="G348" s="419"/>
      <c r="H348" s="374"/>
      <c r="I348" s="329"/>
      <c r="J348" s="419"/>
      <c r="K348" s="330"/>
      <c r="L348" s="819"/>
      <c r="M348" s="420"/>
      <c r="N348" s="421"/>
      <c r="O348" s="421"/>
      <c r="P348" s="422"/>
      <c r="Q348" s="423"/>
      <c r="R348" s="640"/>
      <c r="S348" s="640"/>
      <c r="T348" s="346"/>
    </row>
    <row r="349" spans="1:20">
      <c r="A349" s="347"/>
      <c r="B349" s="348"/>
      <c r="C349" s="349"/>
      <c r="D349" s="649"/>
      <c r="E349" s="350"/>
      <c r="F349" s="351"/>
      <c r="G349" s="352"/>
      <c r="H349" s="351"/>
      <c r="I349" s="353"/>
      <c r="J349" s="352"/>
      <c r="K349" s="354"/>
      <c r="L349" s="408"/>
      <c r="M349" s="409"/>
      <c r="N349" s="410"/>
      <c r="O349" s="410"/>
      <c r="P349" s="351"/>
      <c r="Q349" s="411"/>
      <c r="R349" s="350"/>
      <c r="S349" s="350"/>
      <c r="T349" s="412"/>
    </row>
    <row r="350" spans="1:20" ht="12">
      <c r="A350" s="405">
        <f>A342+1</f>
        <v>8</v>
      </c>
      <c r="B350" s="644" t="s">
        <v>193</v>
      </c>
      <c r="C350" s="799" t="s">
        <v>231</v>
      </c>
      <c r="D350" s="647" t="s">
        <v>33</v>
      </c>
      <c r="E350" s="424">
        <f>3*13/1000</f>
        <v>3.9E-2</v>
      </c>
      <c r="F350" s="398"/>
      <c r="G350" s="340">
        <v>124</v>
      </c>
      <c r="H350" s="398"/>
      <c r="I350" s="406"/>
      <c r="J350" s="340">
        <v>1.4</v>
      </c>
      <c r="K350" s="407"/>
      <c r="L350" s="395"/>
      <c r="M350" s="396"/>
      <c r="N350" s="397"/>
      <c r="O350" s="397"/>
      <c r="P350" s="398"/>
      <c r="Q350" s="399"/>
      <c r="R350" s="337">
        <f>G351+J351</f>
        <v>0</v>
      </c>
      <c r="S350" s="794"/>
      <c r="T350" s="816"/>
    </row>
    <row r="351" spans="1:20" ht="12">
      <c r="A351" s="339"/>
      <c r="B351" s="646" t="s">
        <v>195</v>
      </c>
      <c r="C351" s="800"/>
      <c r="D351" s="648"/>
      <c r="E351" s="640"/>
      <c r="F351" s="374"/>
      <c r="G351" s="340">
        <f>G350*$J$12/1000</f>
        <v>0</v>
      </c>
      <c r="H351" s="374"/>
      <c r="I351" s="329"/>
      <c r="J351" s="340">
        <f>J350*$Q$12/1000</f>
        <v>0</v>
      </c>
      <c r="K351" s="330"/>
      <c r="L351" s="818" t="s">
        <v>231</v>
      </c>
      <c r="M351" s="413" t="s">
        <v>33</v>
      </c>
      <c r="N351" s="414">
        <v>1</v>
      </c>
      <c r="O351" s="415">
        <f>E350*N351</f>
        <v>3.9E-2</v>
      </c>
      <c r="P351" s="416">
        <v>400</v>
      </c>
      <c r="Q351" s="417">
        <f>N351*P351*$N$10</f>
        <v>0</v>
      </c>
      <c r="R351" s="640">
        <f>SUM(Q351:Q351)</f>
        <v>0</v>
      </c>
      <c r="S351" s="795"/>
      <c r="T351" s="817"/>
    </row>
    <row r="352" spans="1:20" ht="0.75" customHeight="1">
      <c r="A352" s="339"/>
      <c r="B352" s="418"/>
      <c r="C352" s="800"/>
      <c r="D352" s="648"/>
      <c r="E352" s="640"/>
      <c r="F352" s="374"/>
      <c r="G352" s="419"/>
      <c r="H352" s="374"/>
      <c r="I352" s="329"/>
      <c r="J352" s="419"/>
      <c r="K352" s="330"/>
      <c r="L352" s="819"/>
      <c r="M352" s="420"/>
      <c r="N352" s="421"/>
      <c r="O352" s="421"/>
      <c r="P352" s="422"/>
      <c r="Q352" s="423"/>
      <c r="R352" s="640"/>
      <c r="S352" s="640"/>
      <c r="T352" s="346"/>
    </row>
    <row r="353" spans="1:20">
      <c r="A353" s="347"/>
      <c r="B353" s="348"/>
      <c r="C353" s="349"/>
      <c r="D353" s="649"/>
      <c r="E353" s="350"/>
      <c r="F353" s="351"/>
      <c r="G353" s="352"/>
      <c r="H353" s="351"/>
      <c r="I353" s="353"/>
      <c r="J353" s="352"/>
      <c r="K353" s="354"/>
      <c r="L353" s="408"/>
      <c r="M353" s="409"/>
      <c r="N353" s="410"/>
      <c r="O353" s="410"/>
      <c r="P353" s="351"/>
      <c r="Q353" s="411"/>
      <c r="R353" s="350"/>
      <c r="S353" s="350"/>
      <c r="T353" s="412"/>
    </row>
    <row r="354" spans="1:20" ht="12">
      <c r="A354" s="405">
        <f>A342+1</f>
        <v>8</v>
      </c>
      <c r="B354" s="644" t="s">
        <v>193</v>
      </c>
      <c r="C354" s="799" t="s">
        <v>194</v>
      </c>
      <c r="D354" s="647" t="s">
        <v>33</v>
      </c>
      <c r="E354" s="424">
        <f>3*32/1000</f>
        <v>9.6000000000000002E-2</v>
      </c>
      <c r="F354" s="398"/>
      <c r="G354" s="340">
        <v>124</v>
      </c>
      <c r="H354" s="398"/>
      <c r="I354" s="406"/>
      <c r="J354" s="340">
        <v>1.4</v>
      </c>
      <c r="K354" s="407"/>
      <c r="L354" s="395"/>
      <c r="M354" s="396"/>
      <c r="N354" s="397"/>
      <c r="O354" s="397"/>
      <c r="P354" s="398"/>
      <c r="Q354" s="399"/>
      <c r="R354" s="337">
        <f>G355+J355</f>
        <v>0</v>
      </c>
      <c r="S354" s="794"/>
      <c r="T354" s="816"/>
    </row>
    <row r="355" spans="1:20" ht="12">
      <c r="A355" s="339"/>
      <c r="B355" s="646" t="s">
        <v>195</v>
      </c>
      <c r="C355" s="800"/>
      <c r="D355" s="648"/>
      <c r="E355" s="640"/>
      <c r="F355" s="374"/>
      <c r="G355" s="340">
        <f>G354*$J$12/1000</f>
        <v>0</v>
      </c>
      <c r="H355" s="374"/>
      <c r="I355" s="329"/>
      <c r="J355" s="340">
        <f>J354*$Q$12/1000</f>
        <v>0</v>
      </c>
      <c r="K355" s="330"/>
      <c r="L355" s="818" t="s">
        <v>196</v>
      </c>
      <c r="M355" s="413" t="s">
        <v>33</v>
      </c>
      <c r="N355" s="414">
        <v>1</v>
      </c>
      <c r="O355" s="415">
        <f>E354*N355</f>
        <v>9.6000000000000002E-2</v>
      </c>
      <c r="P355" s="416">
        <v>438.88900000000001</v>
      </c>
      <c r="Q355" s="417">
        <f>N355*P355*$N$10</f>
        <v>0</v>
      </c>
      <c r="R355" s="640">
        <f>SUM(Q355:Q355)</f>
        <v>0</v>
      </c>
      <c r="S355" s="795"/>
      <c r="T355" s="817"/>
    </row>
    <row r="356" spans="1:20" ht="0.75" customHeight="1">
      <c r="A356" s="339"/>
      <c r="B356" s="418"/>
      <c r="C356" s="800"/>
      <c r="D356" s="648"/>
      <c r="E356" s="640"/>
      <c r="F356" s="374"/>
      <c r="G356" s="419"/>
      <c r="H356" s="374"/>
      <c r="I356" s="329"/>
      <c r="J356" s="419"/>
      <c r="K356" s="330"/>
      <c r="L356" s="819"/>
      <c r="M356" s="420"/>
      <c r="N356" s="421"/>
      <c r="O356" s="421"/>
      <c r="P356" s="422"/>
      <c r="Q356" s="423"/>
      <c r="R356" s="640"/>
      <c r="S356" s="640"/>
      <c r="T356" s="346"/>
    </row>
    <row r="357" spans="1:20">
      <c r="A357" s="347"/>
      <c r="B357" s="348"/>
      <c r="C357" s="349"/>
      <c r="D357" s="649"/>
      <c r="E357" s="350"/>
      <c r="F357" s="351"/>
      <c r="G357" s="352"/>
      <c r="H357" s="351"/>
      <c r="I357" s="353"/>
      <c r="J357" s="352"/>
      <c r="K357" s="354"/>
      <c r="L357" s="408"/>
      <c r="M357" s="409"/>
      <c r="N357" s="410"/>
      <c r="O357" s="410"/>
      <c r="P357" s="351"/>
      <c r="Q357" s="411"/>
      <c r="R357" s="350"/>
      <c r="S357" s="350"/>
      <c r="T357" s="412"/>
    </row>
    <row r="358" spans="1:20" ht="12">
      <c r="A358" s="325">
        <f>A354+1</f>
        <v>9</v>
      </c>
      <c r="B358" s="820" t="s">
        <v>197</v>
      </c>
      <c r="C358" s="800" t="s">
        <v>232</v>
      </c>
      <c r="D358" s="326" t="s">
        <v>27</v>
      </c>
      <c r="E358" s="640">
        <v>13</v>
      </c>
      <c r="F358" s="327"/>
      <c r="G358" s="328">
        <f>149/100</f>
        <v>1.49</v>
      </c>
      <c r="H358" s="327"/>
      <c r="I358" s="329"/>
      <c r="J358" s="328">
        <f>86/100</f>
        <v>0.86</v>
      </c>
      <c r="K358" s="330"/>
      <c r="L358" s="341"/>
      <c r="M358" s="342"/>
      <c r="N358" s="343"/>
      <c r="O358" s="343"/>
      <c r="P358" s="327"/>
      <c r="Q358" s="345"/>
      <c r="R358" s="350">
        <f>G359+J359</f>
        <v>0</v>
      </c>
      <c r="S358" s="794"/>
      <c r="T358" s="817"/>
    </row>
    <row r="359" spans="1:20" ht="12">
      <c r="A359" s="339"/>
      <c r="B359" s="820"/>
      <c r="C359" s="800"/>
      <c r="D359" s="326"/>
      <c r="E359" s="640"/>
      <c r="F359" s="327"/>
      <c r="G359" s="340">
        <f>G358*$J$12/1000</f>
        <v>0</v>
      </c>
      <c r="H359" s="327"/>
      <c r="I359" s="329"/>
      <c r="J359" s="340">
        <f>J358*$Q$12/1000</f>
        <v>0</v>
      </c>
      <c r="K359" s="330"/>
      <c r="L359" s="643" t="s">
        <v>198</v>
      </c>
      <c r="M359" s="413" t="s">
        <v>27</v>
      </c>
      <c r="N359" s="414">
        <v>1</v>
      </c>
      <c r="O359" s="415">
        <f>E358*N359</f>
        <v>13</v>
      </c>
      <c r="P359" s="416">
        <v>23</v>
      </c>
      <c r="Q359" s="417">
        <f>N359*P359*$N$10</f>
        <v>0</v>
      </c>
      <c r="R359" s="640">
        <f>SUM(Q359:Q359)</f>
        <v>0</v>
      </c>
      <c r="S359" s="795"/>
      <c r="T359" s="817"/>
    </row>
    <row r="360" spans="1:20">
      <c r="A360" s="347"/>
      <c r="B360" s="348"/>
      <c r="C360" s="349"/>
      <c r="D360" s="649"/>
      <c r="E360" s="350"/>
      <c r="F360" s="351"/>
      <c r="G360" s="352"/>
      <c r="H360" s="351"/>
      <c r="I360" s="353"/>
      <c r="J360" s="352"/>
      <c r="K360" s="354"/>
      <c r="L360" s="341"/>
      <c r="M360" s="342"/>
      <c r="N360" s="343"/>
      <c r="O360" s="343"/>
      <c r="P360" s="327"/>
      <c r="Q360" s="345"/>
      <c r="R360" s="640"/>
      <c r="S360" s="640"/>
      <c r="T360" s="346"/>
    </row>
    <row r="361" spans="1:20" ht="12">
      <c r="A361" s="325">
        <f>A358+1</f>
        <v>10</v>
      </c>
      <c r="B361" s="814" t="s">
        <v>199</v>
      </c>
      <c r="C361" s="799" t="s">
        <v>200</v>
      </c>
      <c r="D361" s="326" t="s">
        <v>26</v>
      </c>
      <c r="E361" s="640">
        <v>150</v>
      </c>
      <c r="F361" s="327"/>
      <c r="G361" s="328">
        <f>8.07/100</f>
        <v>8.0700000000000008E-2</v>
      </c>
      <c r="H361" s="327"/>
      <c r="I361" s="329"/>
      <c r="J361" s="328">
        <f>5.15/100</f>
        <v>5.1500000000000004E-2</v>
      </c>
      <c r="K361" s="330"/>
      <c r="L361" s="331"/>
      <c r="M361" s="332"/>
      <c r="N361" s="333"/>
      <c r="O361" s="333"/>
      <c r="P361" s="335"/>
      <c r="Q361" s="336"/>
      <c r="R361" s="337">
        <f>G362+J362</f>
        <v>0</v>
      </c>
      <c r="S361" s="794"/>
      <c r="T361" s="641"/>
    </row>
    <row r="362" spans="1:20" ht="10.5" customHeight="1">
      <c r="A362" s="339"/>
      <c r="B362" s="820"/>
      <c r="C362" s="800"/>
      <c r="D362" s="326"/>
      <c r="E362" s="640"/>
      <c r="F362" s="327"/>
      <c r="G362" s="340">
        <f>G361*$J$12/1000</f>
        <v>0</v>
      </c>
      <c r="H362" s="327"/>
      <c r="I362" s="329"/>
      <c r="J362" s="340">
        <f>J361*$Q$12/1000</f>
        <v>0</v>
      </c>
      <c r="K362" s="330"/>
      <c r="L362" s="425" t="s">
        <v>201</v>
      </c>
      <c r="M362" s="401" t="s">
        <v>26</v>
      </c>
      <c r="N362" s="402">
        <v>1.02</v>
      </c>
      <c r="O362" s="403">
        <f>E361*N362</f>
        <v>153</v>
      </c>
      <c r="P362" s="404">
        <v>2.089</v>
      </c>
      <c r="Q362" s="379">
        <f>N362*P362*$N$10</f>
        <v>0</v>
      </c>
      <c r="R362" s="640">
        <f>SUM(Q362:Q362)</f>
        <v>0</v>
      </c>
      <c r="S362" s="795"/>
      <c r="T362" s="346"/>
    </row>
    <row r="363" spans="1:20">
      <c r="A363" s="347"/>
      <c r="B363" s="348"/>
      <c r="C363" s="349"/>
      <c r="D363" s="649"/>
      <c r="E363" s="350"/>
      <c r="F363" s="351"/>
      <c r="G363" s="352"/>
      <c r="H363" s="351"/>
      <c r="I363" s="353"/>
      <c r="J363" s="352"/>
      <c r="K363" s="354"/>
      <c r="L363" s="341"/>
      <c r="M363" s="342"/>
      <c r="N363" s="343"/>
      <c r="O363" s="343"/>
      <c r="P363" s="327"/>
      <c r="Q363" s="345"/>
      <c r="R363" s="640"/>
      <c r="S363" s="640"/>
      <c r="T363" s="346"/>
    </row>
    <row r="364" spans="1:20" ht="12">
      <c r="A364" s="325">
        <f>A361+1</f>
        <v>11</v>
      </c>
      <c r="B364" s="814" t="s">
        <v>199</v>
      </c>
      <c r="C364" s="799" t="s">
        <v>202</v>
      </c>
      <c r="D364" s="326" t="s">
        <v>26</v>
      </c>
      <c r="E364" s="640">
        <v>150</v>
      </c>
      <c r="F364" s="327"/>
      <c r="G364" s="328">
        <f>8.07/100</f>
        <v>8.0700000000000008E-2</v>
      </c>
      <c r="H364" s="327"/>
      <c r="I364" s="329"/>
      <c r="J364" s="328">
        <f>5.15/100</f>
        <v>5.1500000000000004E-2</v>
      </c>
      <c r="K364" s="330"/>
      <c r="L364" s="331"/>
      <c r="M364" s="332"/>
      <c r="N364" s="333"/>
      <c r="O364" s="333"/>
      <c r="P364" s="335"/>
      <c r="Q364" s="336"/>
      <c r="R364" s="337">
        <f>G365+J365</f>
        <v>0</v>
      </c>
      <c r="S364" s="794"/>
      <c r="T364" s="641"/>
    </row>
    <row r="365" spans="1:20" ht="15" customHeight="1">
      <c r="A365" s="339"/>
      <c r="B365" s="820"/>
      <c r="C365" s="800"/>
      <c r="D365" s="326"/>
      <c r="E365" s="640"/>
      <c r="F365" s="327"/>
      <c r="G365" s="340">
        <f>G364*$J$12/1000</f>
        <v>0</v>
      </c>
      <c r="H365" s="327"/>
      <c r="I365" s="329"/>
      <c r="J365" s="340">
        <f>J364*$Q$12/1000</f>
        <v>0</v>
      </c>
      <c r="K365" s="330"/>
      <c r="L365" s="425" t="s">
        <v>203</v>
      </c>
      <c r="M365" s="401" t="s">
        <v>26</v>
      </c>
      <c r="N365" s="402">
        <v>1.02</v>
      </c>
      <c r="O365" s="403">
        <f>E364*N365</f>
        <v>153</v>
      </c>
      <c r="P365" s="404">
        <v>0.94</v>
      </c>
      <c r="Q365" s="379">
        <f>N365*P365*$N$10</f>
        <v>0</v>
      </c>
      <c r="R365" s="640">
        <f>SUM(Q365:Q365)</f>
        <v>0</v>
      </c>
      <c r="S365" s="795"/>
      <c r="T365" s="346"/>
    </row>
    <row r="366" spans="1:20">
      <c r="A366" s="347"/>
      <c r="B366" s="348"/>
      <c r="C366" s="349"/>
      <c r="D366" s="649"/>
      <c r="E366" s="350"/>
      <c r="F366" s="351"/>
      <c r="G366" s="352"/>
      <c r="H366" s="351"/>
      <c r="I366" s="353"/>
      <c r="J366" s="352"/>
      <c r="K366" s="354"/>
      <c r="L366" s="341"/>
      <c r="M366" s="342"/>
      <c r="N366" s="343"/>
      <c r="O366" s="343"/>
      <c r="P366" s="327"/>
      <c r="Q366" s="345"/>
      <c r="R366" s="640"/>
      <c r="S366" s="640"/>
      <c r="T366" s="346"/>
    </row>
    <row r="367" spans="1:20" ht="12">
      <c r="A367" s="325">
        <f>A379+1</f>
        <v>14</v>
      </c>
      <c r="B367" s="645" t="s">
        <v>207</v>
      </c>
      <c r="C367" s="799" t="s">
        <v>223</v>
      </c>
      <c r="D367" s="326" t="s">
        <v>27</v>
      </c>
      <c r="E367" s="426">
        <v>26</v>
      </c>
      <c r="F367" s="327"/>
      <c r="G367" s="328">
        <v>0</v>
      </c>
      <c r="H367" s="327"/>
      <c r="I367" s="329"/>
      <c r="J367" s="328">
        <v>0</v>
      </c>
      <c r="K367" s="330"/>
      <c r="L367" s="395"/>
      <c r="M367" s="396"/>
      <c r="N367" s="397"/>
      <c r="O367" s="397"/>
      <c r="P367" s="398"/>
      <c r="Q367" s="399"/>
      <c r="R367" s="337">
        <f>G368+J368</f>
        <v>0</v>
      </c>
      <c r="S367" s="794"/>
      <c r="T367" s="816"/>
    </row>
    <row r="368" spans="1:20" ht="12">
      <c r="A368" s="339"/>
      <c r="B368" s="338"/>
      <c r="C368" s="800"/>
      <c r="D368" s="326"/>
      <c r="E368" s="640"/>
      <c r="F368" s="327"/>
      <c r="G368" s="340">
        <f>G367*$J$12/1000</f>
        <v>0</v>
      </c>
      <c r="H368" s="327"/>
      <c r="I368" s="329"/>
      <c r="J368" s="340">
        <f>J367*$Q$12/1000</f>
        <v>0</v>
      </c>
      <c r="K368" s="330"/>
      <c r="L368" s="400" t="s">
        <v>224</v>
      </c>
      <c r="M368" s="427" t="s">
        <v>27</v>
      </c>
      <c r="N368" s="428">
        <v>1</v>
      </c>
      <c r="O368" s="429">
        <f>E367*N368</f>
        <v>26</v>
      </c>
      <c r="P368" s="404">
        <v>0.2</v>
      </c>
      <c r="Q368" s="379">
        <f>N368*P368*$N$10</f>
        <v>0</v>
      </c>
      <c r="R368" s="640">
        <f>SUM(Q368:Q368)</f>
        <v>0</v>
      </c>
      <c r="S368" s="795"/>
      <c r="T368" s="817"/>
    </row>
    <row r="369" spans="1:20">
      <c r="A369" s="347"/>
      <c r="B369" s="348"/>
      <c r="C369" s="349"/>
      <c r="D369" s="649"/>
      <c r="E369" s="350"/>
      <c r="F369" s="351"/>
      <c r="G369" s="352"/>
      <c r="H369" s="351"/>
      <c r="I369" s="353"/>
      <c r="J369" s="352"/>
      <c r="K369" s="354"/>
      <c r="L369" s="341"/>
      <c r="M369" s="342"/>
      <c r="N369" s="343"/>
      <c r="O369" s="343"/>
      <c r="P369" s="327"/>
      <c r="Q369" s="345"/>
      <c r="R369" s="640"/>
      <c r="S369" s="640"/>
      <c r="T369" s="346"/>
    </row>
    <row r="370" spans="1:20" ht="12">
      <c r="A370" s="405">
        <f>A391+1</f>
        <v>15</v>
      </c>
      <c r="B370" s="814" t="s">
        <v>214</v>
      </c>
      <c r="C370" s="799" t="s">
        <v>215</v>
      </c>
      <c r="D370" s="647" t="s">
        <v>27</v>
      </c>
      <c r="E370" s="639">
        <v>13</v>
      </c>
      <c r="F370" s="398"/>
      <c r="G370" s="340"/>
      <c r="H370" s="398"/>
      <c r="I370" s="406"/>
      <c r="J370" s="340"/>
      <c r="K370" s="407"/>
      <c r="L370" s="395"/>
      <c r="M370" s="396"/>
      <c r="N370" s="397"/>
      <c r="O370" s="397"/>
      <c r="P370" s="398"/>
      <c r="Q370" s="399"/>
      <c r="R370" s="337">
        <f>G371+J371</f>
        <v>0</v>
      </c>
      <c r="S370" s="794"/>
      <c r="T370" s="816"/>
    </row>
    <row r="371" spans="1:20" ht="14.25" customHeight="1">
      <c r="A371" s="339"/>
      <c r="B371" s="820"/>
      <c r="C371" s="800"/>
      <c r="D371" s="326"/>
      <c r="E371" s="640"/>
      <c r="F371" s="327"/>
      <c r="G371" s="340"/>
      <c r="H371" s="327"/>
      <c r="I371" s="329"/>
      <c r="J371" s="340"/>
      <c r="K371" s="330"/>
      <c r="L371" s="643" t="s">
        <v>216</v>
      </c>
      <c r="M371" s="413" t="s">
        <v>27</v>
      </c>
      <c r="N371" s="414">
        <v>1</v>
      </c>
      <c r="O371" s="415">
        <f>E370*N371</f>
        <v>13</v>
      </c>
      <c r="P371" s="416">
        <v>0.3</v>
      </c>
      <c r="Q371" s="417">
        <f>N371*P371*$N$10</f>
        <v>0</v>
      </c>
      <c r="R371" s="640">
        <f>SUM(Q371:Q371)</f>
        <v>0</v>
      </c>
      <c r="S371" s="795"/>
      <c r="T371" s="817"/>
    </row>
    <row r="372" spans="1:20">
      <c r="A372" s="347"/>
      <c r="B372" s="348"/>
      <c r="C372" s="349"/>
      <c r="D372" s="649"/>
      <c r="E372" s="350"/>
      <c r="F372" s="351"/>
      <c r="G372" s="352"/>
      <c r="H372" s="351"/>
      <c r="I372" s="353"/>
      <c r="J372" s="352"/>
      <c r="K372" s="354"/>
      <c r="L372" s="408"/>
      <c r="M372" s="409"/>
      <c r="N372" s="410"/>
      <c r="O372" s="410"/>
      <c r="P372" s="351"/>
      <c r="Q372" s="411"/>
      <c r="R372" s="350"/>
      <c r="S372" s="350"/>
      <c r="T372" s="412"/>
    </row>
    <row r="373" spans="1:20" ht="12">
      <c r="A373" s="325">
        <f>A379+1</f>
        <v>14</v>
      </c>
      <c r="B373" s="814" t="s">
        <v>226</v>
      </c>
      <c r="C373" s="799" t="s">
        <v>225</v>
      </c>
      <c r="D373" s="326" t="s">
        <v>27</v>
      </c>
      <c r="E373" s="640">
        <v>65</v>
      </c>
      <c r="F373" s="327"/>
      <c r="G373" s="328">
        <v>0.4</v>
      </c>
      <c r="H373" s="327"/>
      <c r="I373" s="329"/>
      <c r="J373" s="328"/>
      <c r="K373" s="330"/>
      <c r="L373" s="331"/>
      <c r="M373" s="332"/>
      <c r="N373" s="333"/>
      <c r="O373" s="333"/>
      <c r="P373" s="335"/>
      <c r="Q373" s="336"/>
      <c r="R373" s="337">
        <f>G374+J374</f>
        <v>0</v>
      </c>
      <c r="S373" s="794"/>
      <c r="T373" s="641"/>
    </row>
    <row r="374" spans="1:20" ht="12">
      <c r="A374" s="339"/>
      <c r="B374" s="820"/>
      <c r="C374" s="800"/>
      <c r="D374" s="326"/>
      <c r="E374" s="640"/>
      <c r="F374" s="327"/>
      <c r="G374" s="340">
        <f>G373*$J$12/1000</f>
        <v>0</v>
      </c>
      <c r="H374" s="327"/>
      <c r="I374" s="329"/>
      <c r="J374" s="340">
        <f>J373*$Q$12/1000</f>
        <v>0</v>
      </c>
      <c r="K374" s="330"/>
      <c r="L374" s="400"/>
      <c r="M374" s="401"/>
      <c r="N374" s="402"/>
      <c r="O374" s="403"/>
      <c r="P374" s="404"/>
      <c r="Q374" s="379"/>
      <c r="R374" s="640">
        <f>SUM(Q374:Q374)</f>
        <v>0</v>
      </c>
      <c r="S374" s="795"/>
      <c r="T374" s="346"/>
    </row>
    <row r="375" spans="1:20">
      <c r="A375" s="347"/>
      <c r="B375" s="348"/>
      <c r="C375" s="349"/>
      <c r="D375" s="649"/>
      <c r="E375" s="350"/>
      <c r="F375" s="351"/>
      <c r="G375" s="352"/>
      <c r="H375" s="351"/>
      <c r="I375" s="353"/>
      <c r="J375" s="352"/>
      <c r="K375" s="354"/>
      <c r="L375" s="341"/>
      <c r="M375" s="342"/>
      <c r="N375" s="343"/>
      <c r="O375" s="343"/>
      <c r="P375" s="327"/>
      <c r="Q375" s="345"/>
      <c r="R375" s="640"/>
      <c r="S375" s="640"/>
      <c r="T375" s="346"/>
    </row>
    <row r="376" spans="1:20" ht="12">
      <c r="A376" s="325">
        <f>A364+1</f>
        <v>12</v>
      </c>
      <c r="B376" s="814" t="s">
        <v>204</v>
      </c>
      <c r="C376" s="799" t="s">
        <v>205</v>
      </c>
      <c r="D376" s="326" t="s">
        <v>24</v>
      </c>
      <c r="E376" s="640">
        <f>13*7.6/100</f>
        <v>0.98799999999999999</v>
      </c>
      <c r="F376" s="327"/>
      <c r="G376" s="328">
        <v>6.24</v>
      </c>
      <c r="H376" s="327"/>
      <c r="I376" s="329"/>
      <c r="J376" s="328">
        <v>0.27</v>
      </c>
      <c r="K376" s="330"/>
      <c r="L376" s="331"/>
      <c r="M376" s="332"/>
      <c r="N376" s="333"/>
      <c r="O376" s="333"/>
      <c r="P376" s="335"/>
      <c r="Q376" s="336"/>
      <c r="R376" s="337">
        <f>G377+J377</f>
        <v>0</v>
      </c>
      <c r="S376" s="794"/>
      <c r="T376" s="641"/>
    </row>
    <row r="377" spans="1:20" ht="12">
      <c r="A377" s="339"/>
      <c r="B377" s="820"/>
      <c r="C377" s="800"/>
      <c r="D377" s="326"/>
      <c r="E377" s="640"/>
      <c r="F377" s="327"/>
      <c r="G377" s="340">
        <f>G376*$J$12/1000</f>
        <v>0</v>
      </c>
      <c r="H377" s="327"/>
      <c r="I377" s="329"/>
      <c r="J377" s="340">
        <f>J376*$Q$12/1000</f>
        <v>0</v>
      </c>
      <c r="K377" s="330"/>
      <c r="L377" s="400" t="s">
        <v>206</v>
      </c>
      <c r="M377" s="401" t="s">
        <v>26</v>
      </c>
      <c r="N377" s="402">
        <v>102</v>
      </c>
      <c r="O377" s="403">
        <f>E376*N377</f>
        <v>100.776</v>
      </c>
      <c r="P377" s="404">
        <v>0.248</v>
      </c>
      <c r="Q377" s="379">
        <f>N377*P377*$N$10</f>
        <v>0</v>
      </c>
      <c r="R377" s="640">
        <f>SUM(Q377:Q377)</f>
        <v>0</v>
      </c>
      <c r="S377" s="795"/>
      <c r="T377" s="346"/>
    </row>
    <row r="378" spans="1:20">
      <c r="A378" s="347"/>
      <c r="B378" s="348"/>
      <c r="C378" s="349"/>
      <c r="D378" s="649"/>
      <c r="E378" s="350"/>
      <c r="F378" s="351"/>
      <c r="G378" s="352"/>
      <c r="H378" s="351"/>
      <c r="I378" s="353"/>
      <c r="J378" s="352"/>
      <c r="K378" s="354"/>
      <c r="L378" s="341"/>
      <c r="M378" s="342"/>
      <c r="N378" s="343"/>
      <c r="O378" s="343"/>
      <c r="P378" s="327"/>
      <c r="Q378" s="345"/>
      <c r="R378" s="640"/>
      <c r="S378" s="640"/>
      <c r="T378" s="346"/>
    </row>
    <row r="379" spans="1:20" ht="12">
      <c r="A379" s="325">
        <f>A376+1</f>
        <v>13</v>
      </c>
      <c r="B379" s="645" t="s">
        <v>207</v>
      </c>
      <c r="C379" s="799" t="s">
        <v>208</v>
      </c>
      <c r="D379" s="326" t="s">
        <v>27</v>
      </c>
      <c r="E379" s="426">
        <v>13</v>
      </c>
      <c r="F379" s="327"/>
      <c r="G379" s="328">
        <v>0</v>
      </c>
      <c r="H379" s="327"/>
      <c r="I379" s="329"/>
      <c r="J379" s="328">
        <v>0</v>
      </c>
      <c r="K379" s="330"/>
      <c r="L379" s="395"/>
      <c r="M379" s="396"/>
      <c r="N379" s="397"/>
      <c r="O379" s="397"/>
      <c r="P379" s="398"/>
      <c r="Q379" s="399"/>
      <c r="R379" s="337">
        <f>G380+J380</f>
        <v>0</v>
      </c>
      <c r="S379" s="794"/>
      <c r="T379" s="816"/>
    </row>
    <row r="380" spans="1:20" ht="12">
      <c r="A380" s="339"/>
      <c r="B380" s="338"/>
      <c r="C380" s="800"/>
      <c r="D380" s="326"/>
      <c r="E380" s="640"/>
      <c r="F380" s="327"/>
      <c r="G380" s="340">
        <f>G379*$J$12/1000</f>
        <v>0</v>
      </c>
      <c r="H380" s="327"/>
      <c r="I380" s="329"/>
      <c r="J380" s="340">
        <f>J379*$Q$12/1000</f>
        <v>0</v>
      </c>
      <c r="K380" s="330"/>
      <c r="L380" s="400" t="s">
        <v>209</v>
      </c>
      <c r="M380" s="427" t="s">
        <v>27</v>
      </c>
      <c r="N380" s="428">
        <v>1</v>
      </c>
      <c r="O380" s="429">
        <f>E379*N380</f>
        <v>13</v>
      </c>
      <c r="P380" s="404">
        <v>1.79</v>
      </c>
      <c r="Q380" s="379">
        <f>N380*P380*$N$10</f>
        <v>0</v>
      </c>
      <c r="R380" s="640">
        <f>SUM(Q380:Q380)</f>
        <v>0</v>
      </c>
      <c r="S380" s="795"/>
      <c r="T380" s="817"/>
    </row>
    <row r="381" spans="1:20">
      <c r="A381" s="347"/>
      <c r="B381" s="348"/>
      <c r="C381" s="349"/>
      <c r="D381" s="649"/>
      <c r="E381" s="350"/>
      <c r="F381" s="351"/>
      <c r="G381" s="352"/>
      <c r="H381" s="351"/>
      <c r="I381" s="353"/>
      <c r="J381" s="352"/>
      <c r="K381" s="354"/>
      <c r="L381" s="341"/>
      <c r="M381" s="342"/>
      <c r="N381" s="343"/>
      <c r="O381" s="343"/>
      <c r="P381" s="327"/>
      <c r="Q381" s="345"/>
      <c r="R381" s="640"/>
      <c r="S381" s="640"/>
      <c r="T381" s="346"/>
    </row>
    <row r="382" spans="1:20" ht="12">
      <c r="A382" s="325">
        <f>A370+1</f>
        <v>16</v>
      </c>
      <c r="B382" s="820" t="s">
        <v>217</v>
      </c>
      <c r="C382" s="799" t="s">
        <v>218</v>
      </c>
      <c r="D382" s="326" t="s">
        <v>24</v>
      </c>
      <c r="E382" s="640">
        <f>150/100</f>
        <v>1.5</v>
      </c>
      <c r="F382" s="327"/>
      <c r="G382" s="328">
        <v>3.01</v>
      </c>
      <c r="H382" s="327"/>
      <c r="I382" s="329"/>
      <c r="J382" s="328">
        <v>2.98</v>
      </c>
      <c r="K382" s="330"/>
      <c r="L382" s="395"/>
      <c r="M382" s="396"/>
      <c r="N382" s="397"/>
      <c r="O382" s="430"/>
      <c r="P382" s="398"/>
      <c r="Q382" s="399"/>
      <c r="R382" s="337">
        <f>G383+J383</f>
        <v>0</v>
      </c>
      <c r="S382" s="794"/>
      <c r="T382" s="816"/>
    </row>
    <row r="383" spans="1:20" ht="12">
      <c r="A383" s="339"/>
      <c r="B383" s="820"/>
      <c r="C383" s="800"/>
      <c r="D383" s="326"/>
      <c r="E383" s="640"/>
      <c r="F383" s="327"/>
      <c r="G383" s="340">
        <f>G382*$J$12/1000</f>
        <v>0</v>
      </c>
      <c r="H383" s="327"/>
      <c r="I383" s="329"/>
      <c r="J383" s="340">
        <f>J382*$Q$12/1000</f>
        <v>0</v>
      </c>
      <c r="K383" s="330"/>
      <c r="L383" s="400"/>
      <c r="M383" s="427"/>
      <c r="N383" s="428"/>
      <c r="O383" s="428"/>
      <c r="P383" s="404"/>
      <c r="Q383" s="379"/>
      <c r="R383" s="431">
        <f>SUM(Q383:Q383)</f>
        <v>0</v>
      </c>
      <c r="S383" s="795"/>
      <c r="T383" s="817"/>
    </row>
    <row r="384" spans="1:20">
      <c r="A384" s="347"/>
      <c r="B384" s="348"/>
      <c r="C384" s="349"/>
      <c r="D384" s="649"/>
      <c r="E384" s="350"/>
      <c r="F384" s="351"/>
      <c r="G384" s="352"/>
      <c r="H384" s="351"/>
      <c r="I384" s="353"/>
      <c r="J384" s="352"/>
      <c r="K384" s="354"/>
      <c r="L384" s="341"/>
      <c r="M384" s="342"/>
      <c r="N384" s="343"/>
      <c r="O384" s="344"/>
      <c r="P384" s="327"/>
      <c r="Q384" s="345"/>
      <c r="R384" s="640"/>
      <c r="S384" s="640"/>
      <c r="T384" s="346"/>
    </row>
    <row r="385" spans="1:20" ht="12">
      <c r="A385" s="325">
        <f>A382+1</f>
        <v>17</v>
      </c>
      <c r="B385" s="645" t="s">
        <v>141</v>
      </c>
      <c r="C385" s="799" t="s">
        <v>221</v>
      </c>
      <c r="D385" s="326" t="s">
        <v>31</v>
      </c>
      <c r="E385" s="432">
        <f>4.5/100</f>
        <v>4.4999999999999998E-2</v>
      </c>
      <c r="F385" s="327"/>
      <c r="G385" s="328">
        <v>205</v>
      </c>
      <c r="H385" s="327"/>
      <c r="I385" s="329"/>
      <c r="J385" s="328"/>
      <c r="K385" s="330"/>
      <c r="L385" s="331"/>
      <c r="M385" s="332"/>
      <c r="N385" s="333"/>
      <c r="O385" s="334"/>
      <c r="P385" s="335"/>
      <c r="Q385" s="336"/>
      <c r="R385" s="337">
        <f>G386+J386</f>
        <v>0</v>
      </c>
      <c r="S385" s="794"/>
      <c r="T385" s="641"/>
    </row>
    <row r="386" spans="1:20" ht="12">
      <c r="A386" s="339"/>
      <c r="B386" s="645"/>
      <c r="C386" s="800"/>
      <c r="D386" s="326"/>
      <c r="E386" s="640"/>
      <c r="F386" s="327"/>
      <c r="G386" s="340">
        <f>G385*$J$12/1000</f>
        <v>0</v>
      </c>
      <c r="H386" s="327"/>
      <c r="I386" s="329"/>
      <c r="J386" s="340">
        <f>J385*$Q$12/1000</f>
        <v>0</v>
      </c>
      <c r="K386" s="330"/>
      <c r="L386" s="341"/>
      <c r="M386" s="342"/>
      <c r="N386" s="343"/>
      <c r="O386" s="344"/>
      <c r="P386" s="327"/>
      <c r="Q386" s="345"/>
      <c r="R386" s="640"/>
      <c r="S386" s="795"/>
      <c r="T386" s="346"/>
    </row>
    <row r="387" spans="1:20">
      <c r="A387" s="347"/>
      <c r="B387" s="348"/>
      <c r="C387" s="349"/>
      <c r="D387" s="649"/>
      <c r="E387" s="350"/>
      <c r="F387" s="351"/>
      <c r="G387" s="352"/>
      <c r="H387" s="351"/>
      <c r="I387" s="353"/>
      <c r="J387" s="352"/>
      <c r="K387" s="354"/>
      <c r="L387" s="341"/>
      <c r="M387" s="342"/>
      <c r="N387" s="343"/>
      <c r="O387" s="344"/>
      <c r="P387" s="327"/>
      <c r="Q387" s="345"/>
      <c r="R387" s="640"/>
      <c r="S387" s="640"/>
      <c r="T387" s="346"/>
    </row>
    <row r="388" spans="1:20" ht="12">
      <c r="A388" s="325">
        <f>A385+1</f>
        <v>18</v>
      </c>
      <c r="B388" s="645" t="s">
        <v>222</v>
      </c>
      <c r="C388" s="799" t="s">
        <v>219</v>
      </c>
      <c r="D388" s="326" t="s">
        <v>31</v>
      </c>
      <c r="E388" s="432">
        <f>E385</f>
        <v>4.4999999999999998E-2</v>
      </c>
      <c r="F388" s="327"/>
      <c r="G388" s="328">
        <v>56.2</v>
      </c>
      <c r="H388" s="327"/>
      <c r="I388" s="329"/>
      <c r="J388" s="328"/>
      <c r="K388" s="330"/>
      <c r="L388" s="331"/>
      <c r="M388" s="332"/>
      <c r="N388" s="333"/>
      <c r="O388" s="334"/>
      <c r="P388" s="335"/>
      <c r="Q388" s="336"/>
      <c r="R388" s="337">
        <f>G389+J389</f>
        <v>0</v>
      </c>
      <c r="S388" s="794"/>
      <c r="T388" s="641"/>
    </row>
    <row r="389" spans="1:20" ht="12">
      <c r="A389" s="339"/>
      <c r="B389" s="645"/>
      <c r="C389" s="800"/>
      <c r="D389" s="326"/>
      <c r="E389" s="640"/>
      <c r="F389" s="327"/>
      <c r="G389" s="340">
        <f>G388*$J$12/1000</f>
        <v>0</v>
      </c>
      <c r="H389" s="327"/>
      <c r="I389" s="329"/>
      <c r="J389" s="340">
        <f>J388*$Q$12/1000</f>
        <v>0</v>
      </c>
      <c r="K389" s="330"/>
      <c r="L389" s="341"/>
      <c r="M389" s="342"/>
      <c r="N389" s="343"/>
      <c r="O389" s="344"/>
      <c r="P389" s="327"/>
      <c r="Q389" s="345"/>
      <c r="R389" s="640"/>
      <c r="S389" s="795"/>
      <c r="T389" s="346"/>
    </row>
    <row r="390" spans="1:20">
      <c r="A390" s="347"/>
      <c r="B390" s="348"/>
      <c r="C390" s="349"/>
      <c r="D390" s="649"/>
      <c r="E390" s="350"/>
      <c r="F390" s="351"/>
      <c r="G390" s="352"/>
      <c r="H390" s="351"/>
      <c r="I390" s="353"/>
      <c r="J390" s="352"/>
      <c r="K390" s="354"/>
      <c r="L390" s="341"/>
      <c r="M390" s="342"/>
      <c r="N390" s="343"/>
      <c r="O390" s="344"/>
      <c r="P390" s="327"/>
      <c r="Q390" s="345"/>
      <c r="R390" s="640"/>
      <c r="S390" s="640"/>
      <c r="T390" s="346"/>
    </row>
    <row r="391" spans="1:20" ht="15.75" customHeight="1">
      <c r="A391" s="325">
        <f>A379+1</f>
        <v>14</v>
      </c>
      <c r="B391" s="645" t="s">
        <v>210</v>
      </c>
      <c r="C391" s="799" t="s">
        <v>211</v>
      </c>
      <c r="D391" s="326" t="s">
        <v>45</v>
      </c>
      <c r="E391" s="432">
        <f>1.44*13/100</f>
        <v>0.18719999999999998</v>
      </c>
      <c r="F391" s="327"/>
      <c r="G391" s="328">
        <v>21.4</v>
      </c>
      <c r="H391" s="327"/>
      <c r="I391" s="329"/>
      <c r="J391" s="328">
        <v>0.03</v>
      </c>
      <c r="K391" s="330"/>
      <c r="L391" s="395"/>
      <c r="M391" s="396"/>
      <c r="N391" s="397"/>
      <c r="O391" s="430"/>
      <c r="P391" s="398"/>
      <c r="Q391" s="399"/>
      <c r="R391" s="337">
        <f>G392+J392</f>
        <v>0</v>
      </c>
      <c r="S391" s="794"/>
      <c r="T391" s="816"/>
    </row>
    <row r="392" spans="1:20" ht="12">
      <c r="A392" s="339"/>
      <c r="B392" s="645" t="s">
        <v>212</v>
      </c>
      <c r="C392" s="800"/>
      <c r="D392" s="326"/>
      <c r="E392" s="640"/>
      <c r="F392" s="327"/>
      <c r="G392" s="340">
        <f>G391*$J$12/1000</f>
        <v>0</v>
      </c>
      <c r="H392" s="327"/>
      <c r="I392" s="329"/>
      <c r="J392" s="340">
        <f>J391*$Q$12/1000</f>
        <v>0</v>
      </c>
      <c r="K392" s="330"/>
      <c r="L392" s="400" t="s">
        <v>213</v>
      </c>
      <c r="M392" s="401" t="s">
        <v>42</v>
      </c>
      <c r="N392" s="402">
        <v>27.3</v>
      </c>
      <c r="O392" s="402">
        <f>E391*N392</f>
        <v>5.1105599999999995</v>
      </c>
      <c r="P392" s="404">
        <v>1</v>
      </c>
      <c r="Q392" s="379">
        <f>N392*P392*$N$10</f>
        <v>0</v>
      </c>
      <c r="R392" s="640">
        <f>SUM(Q392:Q392)</f>
        <v>0</v>
      </c>
      <c r="S392" s="795"/>
      <c r="T392" s="817"/>
    </row>
    <row r="393" spans="1:20">
      <c r="A393" s="347"/>
      <c r="B393" s="348"/>
      <c r="C393" s="349"/>
      <c r="D393" s="649"/>
      <c r="E393" s="350"/>
      <c r="F393" s="351"/>
      <c r="G393" s="352"/>
      <c r="H393" s="351"/>
      <c r="I393" s="353"/>
      <c r="J393" s="352"/>
      <c r="K393" s="354"/>
      <c r="L393" s="341"/>
      <c r="M393" s="342"/>
      <c r="N393" s="343"/>
      <c r="O393" s="344"/>
      <c r="P393" s="327"/>
      <c r="Q393" s="345"/>
      <c r="R393" s="640"/>
      <c r="S393" s="640"/>
      <c r="T393" s="346"/>
    </row>
    <row r="394" spans="1:20" ht="12">
      <c r="A394" s="433"/>
      <c r="B394" s="434"/>
      <c r="C394" s="435" t="s">
        <v>25</v>
      </c>
      <c r="D394" s="436"/>
      <c r="E394" s="437"/>
      <c r="F394" s="438"/>
      <c r="G394" s="439"/>
      <c r="H394" s="438"/>
      <c r="I394" s="438"/>
      <c r="J394" s="439"/>
      <c r="K394" s="438"/>
      <c r="L394" s="440"/>
      <c r="M394" s="441"/>
      <c r="N394" s="442"/>
      <c r="O394" s="443"/>
      <c r="P394" s="438"/>
      <c r="Q394" s="439"/>
      <c r="R394" s="443"/>
      <c r="S394" s="443"/>
      <c r="T394" s="696">
        <v>1</v>
      </c>
    </row>
    <row r="395" spans="1:20">
      <c r="A395" s="444"/>
      <c r="B395" s="338"/>
      <c r="C395" s="445"/>
      <c r="D395" s="446"/>
      <c r="E395" s="447"/>
      <c r="F395" s="327"/>
      <c r="G395" s="328"/>
      <c r="H395" s="327"/>
      <c r="I395" s="327"/>
      <c r="J395" s="328"/>
      <c r="K395" s="327"/>
      <c r="L395" s="341"/>
      <c r="M395" s="342"/>
      <c r="N395" s="343"/>
      <c r="O395" s="344"/>
      <c r="P395" s="327"/>
      <c r="Q395" s="328"/>
      <c r="R395" s="344"/>
      <c r="S395" s="344"/>
      <c r="T395" s="448"/>
    </row>
    <row r="396" spans="1:20">
      <c r="A396" s="444"/>
      <c r="B396" s="338"/>
      <c r="C396" s="652" t="s">
        <v>25</v>
      </c>
      <c r="D396" s="326"/>
      <c r="E396" s="447"/>
      <c r="F396" s="327"/>
      <c r="G396" s="328"/>
      <c r="H396" s="327"/>
      <c r="I396" s="327"/>
      <c r="J396" s="328"/>
      <c r="K396" s="327"/>
      <c r="L396" s="341"/>
      <c r="M396" s="342"/>
      <c r="N396" s="343"/>
      <c r="O396" s="344"/>
      <c r="P396" s="327"/>
      <c r="Q396" s="328"/>
      <c r="R396" s="344"/>
      <c r="S396" s="344"/>
      <c r="T396" s="448"/>
    </row>
    <row r="397" spans="1:20">
      <c r="A397" s="444"/>
      <c r="B397" s="338"/>
      <c r="C397" s="445" t="s">
        <v>254</v>
      </c>
      <c r="D397" s="446">
        <v>0.2</v>
      </c>
      <c r="E397" s="447"/>
      <c r="F397" s="327"/>
      <c r="G397" s="328"/>
      <c r="H397" s="327"/>
      <c r="I397" s="327"/>
      <c r="J397" s="328"/>
      <c r="K397" s="327"/>
      <c r="L397" s="341"/>
      <c r="M397" s="342"/>
      <c r="N397" s="343"/>
      <c r="O397" s="344"/>
      <c r="P397" s="327"/>
      <c r="Q397" s="328"/>
      <c r="R397" s="344"/>
      <c r="S397" s="344"/>
      <c r="T397" s="696"/>
    </row>
    <row r="398" spans="1:20" ht="13.5" thickBot="1">
      <c r="A398" s="444"/>
      <c r="B398" s="338"/>
      <c r="C398" s="445" t="s">
        <v>25</v>
      </c>
      <c r="D398" s="326"/>
      <c r="E398" s="447"/>
      <c r="F398" s="327"/>
      <c r="G398" s="328"/>
      <c r="H398" s="327"/>
      <c r="I398" s="327"/>
      <c r="J398" s="328"/>
      <c r="K398" s="327"/>
      <c r="L398" s="341"/>
      <c r="M398" s="342"/>
      <c r="N398" s="343"/>
      <c r="O398" s="344"/>
      <c r="P398" s="327"/>
      <c r="Q398" s="328"/>
      <c r="R398" s="344"/>
      <c r="S398" s="344"/>
      <c r="T398" s="448"/>
    </row>
    <row r="399" spans="1:20" ht="14.25" thickTop="1" thickBot="1">
      <c r="A399" s="449"/>
      <c r="B399" s="450"/>
      <c r="C399" s="451" t="s">
        <v>28</v>
      </c>
      <c r="D399" s="450"/>
      <c r="E399" s="452"/>
      <c r="F399" s="453"/>
      <c r="G399" s="454"/>
      <c r="H399" s="453"/>
      <c r="I399" s="453"/>
      <c r="J399" s="454"/>
      <c r="K399" s="453"/>
      <c r="L399" s="453"/>
      <c r="M399" s="455"/>
      <c r="N399" s="453"/>
      <c r="O399" s="454"/>
      <c r="P399" s="453"/>
      <c r="Q399" s="454"/>
      <c r="R399" s="454"/>
      <c r="S399" s="454"/>
      <c r="T399" s="456">
        <v>21832.5</v>
      </c>
    </row>
    <row r="400" spans="1:20" ht="13.5" thickTop="1"/>
  </sheetData>
  <mergeCells count="341">
    <mergeCell ref="S313:S314"/>
    <mergeCell ref="S32:S34"/>
    <mergeCell ref="S35:S37"/>
    <mergeCell ref="S38:S40"/>
    <mergeCell ref="S41:S43"/>
    <mergeCell ref="S85:S86"/>
    <mergeCell ref="S88:S89"/>
    <mergeCell ref="S46:S49"/>
    <mergeCell ref="C388:C389"/>
    <mergeCell ref="C391:C392"/>
    <mergeCell ref="S391:S392"/>
    <mergeCell ref="T391:T392"/>
    <mergeCell ref="C322:E323"/>
    <mergeCell ref="S361:S362"/>
    <mergeCell ref="S364:S365"/>
    <mergeCell ref="S373:S374"/>
    <mergeCell ref="S376:S377"/>
    <mergeCell ref="T379:T380"/>
    <mergeCell ref="C336:C337"/>
    <mergeCell ref="S336:S337"/>
    <mergeCell ref="T336:T337"/>
    <mergeCell ref="C339:C340"/>
    <mergeCell ref="S339:S340"/>
    <mergeCell ref="T339:T340"/>
    <mergeCell ref="C324:C325"/>
    <mergeCell ref="C327:C328"/>
    <mergeCell ref="C330:C331"/>
    <mergeCell ref="C333:C334"/>
    <mergeCell ref="S333:S334"/>
    <mergeCell ref="T333:T334"/>
    <mergeCell ref="S388:S389"/>
    <mergeCell ref="B382:B383"/>
    <mergeCell ref="C382:C383"/>
    <mergeCell ref="S382:S383"/>
    <mergeCell ref="T382:T383"/>
    <mergeCell ref="C385:C386"/>
    <mergeCell ref="S385:S386"/>
    <mergeCell ref="B373:B374"/>
    <mergeCell ref="C373:C374"/>
    <mergeCell ref="B376:B377"/>
    <mergeCell ref="C376:C377"/>
    <mergeCell ref="C379:C380"/>
    <mergeCell ref="S379:S380"/>
    <mergeCell ref="B364:B365"/>
    <mergeCell ref="C364:C365"/>
    <mergeCell ref="C367:C368"/>
    <mergeCell ref="S367:S368"/>
    <mergeCell ref="T367:T368"/>
    <mergeCell ref="B370:B371"/>
    <mergeCell ref="C370:C371"/>
    <mergeCell ref="S370:S371"/>
    <mergeCell ref="T370:T371"/>
    <mergeCell ref="B358:B359"/>
    <mergeCell ref="C358:C359"/>
    <mergeCell ref="S358:S359"/>
    <mergeCell ref="T358:T359"/>
    <mergeCell ref="B361:B362"/>
    <mergeCell ref="C361:C362"/>
    <mergeCell ref="C350:C352"/>
    <mergeCell ref="S350:S351"/>
    <mergeCell ref="T350:T351"/>
    <mergeCell ref="L351:L352"/>
    <mergeCell ref="C354:C356"/>
    <mergeCell ref="S354:S355"/>
    <mergeCell ref="T354:T355"/>
    <mergeCell ref="L355:L356"/>
    <mergeCell ref="B342:B343"/>
    <mergeCell ref="C342:C344"/>
    <mergeCell ref="S342:S343"/>
    <mergeCell ref="T342:T343"/>
    <mergeCell ref="L343:L344"/>
    <mergeCell ref="C346:C348"/>
    <mergeCell ref="S346:S347"/>
    <mergeCell ref="T346:T347"/>
    <mergeCell ref="L347:L348"/>
    <mergeCell ref="C313:C314"/>
    <mergeCell ref="C316:C319"/>
    <mergeCell ref="S316:S317"/>
    <mergeCell ref="T316:T317"/>
    <mergeCell ref="L317:L319"/>
    <mergeCell ref="C230:C231"/>
    <mergeCell ref="C303:C306"/>
    <mergeCell ref="S303:S304"/>
    <mergeCell ref="T303:T304"/>
    <mergeCell ref="L304:L306"/>
    <mergeCell ref="C308:C311"/>
    <mergeCell ref="S308:S309"/>
    <mergeCell ref="T308:T309"/>
    <mergeCell ref="C293:C296"/>
    <mergeCell ref="S293:S294"/>
    <mergeCell ref="T293:T294"/>
    <mergeCell ref="L294:L296"/>
    <mergeCell ref="C298:C301"/>
    <mergeCell ref="S298:S299"/>
    <mergeCell ref="T298:T299"/>
    <mergeCell ref="L299:L301"/>
    <mergeCell ref="C285:C287"/>
    <mergeCell ref="S285:S286"/>
    <mergeCell ref="T285:T286"/>
    <mergeCell ref="L286:L287"/>
    <mergeCell ref="C289:C291"/>
    <mergeCell ref="S289:S290"/>
    <mergeCell ref="T289:T290"/>
    <mergeCell ref="L290:L291"/>
    <mergeCell ref="C276:C279"/>
    <mergeCell ref="S276:S277"/>
    <mergeCell ref="T276:T277"/>
    <mergeCell ref="L277:L278"/>
    <mergeCell ref="C281:C283"/>
    <mergeCell ref="S281:S282"/>
    <mergeCell ref="T281:T282"/>
    <mergeCell ref="L282:L283"/>
    <mergeCell ref="C266:C269"/>
    <mergeCell ref="S266:S267"/>
    <mergeCell ref="T266:T267"/>
    <mergeCell ref="L267:L268"/>
    <mergeCell ref="C271:C274"/>
    <mergeCell ref="S271:S272"/>
    <mergeCell ref="T271:T272"/>
    <mergeCell ref="L272:L273"/>
    <mergeCell ref="B259:B262"/>
    <mergeCell ref="C259:C264"/>
    <mergeCell ref="S259:S260"/>
    <mergeCell ref="T259:T260"/>
    <mergeCell ref="L260:L261"/>
    <mergeCell ref="B263:B264"/>
    <mergeCell ref="C244:C246"/>
    <mergeCell ref="C248:C252"/>
    <mergeCell ref="C254:C255"/>
    <mergeCell ref="C256:C257"/>
    <mergeCell ref="S256:S257"/>
    <mergeCell ref="T256:T257"/>
    <mergeCell ref="C225:C228"/>
    <mergeCell ref="S225:S226"/>
    <mergeCell ref="T225:T226"/>
    <mergeCell ref="C232:C233"/>
    <mergeCell ref="C235:C236"/>
    <mergeCell ref="C238:C242"/>
    <mergeCell ref="S238:S239"/>
    <mergeCell ref="T238:T239"/>
    <mergeCell ref="S244:S245"/>
    <mergeCell ref="S248:S249"/>
    <mergeCell ref="S254:S255"/>
    <mergeCell ref="C215:C218"/>
    <mergeCell ref="S215:S218"/>
    <mergeCell ref="T215:T218"/>
    <mergeCell ref="R216:R218"/>
    <mergeCell ref="C220:C223"/>
    <mergeCell ref="S220:S221"/>
    <mergeCell ref="T220:T221"/>
    <mergeCell ref="C207:C209"/>
    <mergeCell ref="S207:S208"/>
    <mergeCell ref="T207:T208"/>
    <mergeCell ref="L208:L209"/>
    <mergeCell ref="C211:C213"/>
    <mergeCell ref="S211:S212"/>
    <mergeCell ref="T211:T212"/>
    <mergeCell ref="L212:L213"/>
    <mergeCell ref="C199:C201"/>
    <mergeCell ref="S199:S200"/>
    <mergeCell ref="T199:T200"/>
    <mergeCell ref="L200:L201"/>
    <mergeCell ref="C203:C205"/>
    <mergeCell ref="S203:S204"/>
    <mergeCell ref="T203:T204"/>
    <mergeCell ref="L204:L205"/>
    <mergeCell ref="C191:C193"/>
    <mergeCell ref="S191:S193"/>
    <mergeCell ref="T191:T193"/>
    <mergeCell ref="L192:L193"/>
    <mergeCell ref="R192:R193"/>
    <mergeCell ref="C195:C197"/>
    <mergeCell ref="S195:S196"/>
    <mergeCell ref="T195:T196"/>
    <mergeCell ref="L196:L197"/>
    <mergeCell ref="C178:C180"/>
    <mergeCell ref="C182:C183"/>
    <mergeCell ref="S182:S183"/>
    <mergeCell ref="T182:T183"/>
    <mergeCell ref="C185:C189"/>
    <mergeCell ref="S185:S189"/>
    <mergeCell ref="T185:T189"/>
    <mergeCell ref="R186:R189"/>
    <mergeCell ref="C168:C170"/>
    <mergeCell ref="S168:S169"/>
    <mergeCell ref="T168:T169"/>
    <mergeCell ref="L169:L170"/>
    <mergeCell ref="C172:C175"/>
    <mergeCell ref="S172:S173"/>
    <mergeCell ref="T172:T173"/>
    <mergeCell ref="S178:S179"/>
    <mergeCell ref="C160:C162"/>
    <mergeCell ref="S160:S161"/>
    <mergeCell ref="T160:T161"/>
    <mergeCell ref="L161:L162"/>
    <mergeCell ref="C164:C166"/>
    <mergeCell ref="S164:S166"/>
    <mergeCell ref="T164:T166"/>
    <mergeCell ref="L165:L166"/>
    <mergeCell ref="R165:R166"/>
    <mergeCell ref="C146:C150"/>
    <mergeCell ref="S146:S150"/>
    <mergeCell ref="T146:T150"/>
    <mergeCell ref="R147:R150"/>
    <mergeCell ref="C152:C154"/>
    <mergeCell ref="C156:C158"/>
    <mergeCell ref="S156:S158"/>
    <mergeCell ref="T156:T158"/>
    <mergeCell ref="L157:L158"/>
    <mergeCell ref="R157:R158"/>
    <mergeCell ref="S152:S153"/>
    <mergeCell ref="C133:C136"/>
    <mergeCell ref="S133:S134"/>
    <mergeCell ref="T133:T134"/>
    <mergeCell ref="C139:C141"/>
    <mergeCell ref="C143:C144"/>
    <mergeCell ref="S143:S144"/>
    <mergeCell ref="T143:T144"/>
    <mergeCell ref="S139:S140"/>
    <mergeCell ref="C125:C127"/>
    <mergeCell ref="S125:S126"/>
    <mergeCell ref="T125:T126"/>
    <mergeCell ref="L126:L127"/>
    <mergeCell ref="C129:C131"/>
    <mergeCell ref="S129:S130"/>
    <mergeCell ref="T129:T130"/>
    <mergeCell ref="L130:L131"/>
    <mergeCell ref="C121:C123"/>
    <mergeCell ref="S121:S122"/>
    <mergeCell ref="T121:T122"/>
    <mergeCell ref="L122:L123"/>
    <mergeCell ref="C107:C111"/>
    <mergeCell ref="S107:S111"/>
    <mergeCell ref="T107:T111"/>
    <mergeCell ref="R108:R111"/>
    <mergeCell ref="C113:C115"/>
    <mergeCell ref="S113:S115"/>
    <mergeCell ref="T113:T115"/>
    <mergeCell ref="L114:L115"/>
    <mergeCell ref="R114:R115"/>
    <mergeCell ref="C95:C97"/>
    <mergeCell ref="C99:C101"/>
    <mergeCell ref="C103:C105"/>
    <mergeCell ref="S103:S105"/>
    <mergeCell ref="T103:T105"/>
    <mergeCell ref="R104:R105"/>
    <mergeCell ref="S95:S96"/>
    <mergeCell ref="S99:S100"/>
    <mergeCell ref="C117:C119"/>
    <mergeCell ref="S117:S118"/>
    <mergeCell ref="T117:T118"/>
    <mergeCell ref="L118:L119"/>
    <mergeCell ref="C85:C86"/>
    <mergeCell ref="L86:L87"/>
    <mergeCell ref="C88:C90"/>
    <mergeCell ref="L89:L90"/>
    <mergeCell ref="C91:C92"/>
    <mergeCell ref="S91:S92"/>
    <mergeCell ref="C75:C76"/>
    <mergeCell ref="S75:S76"/>
    <mergeCell ref="T75:T76"/>
    <mergeCell ref="T91:T92"/>
    <mergeCell ref="B78:B81"/>
    <mergeCell ref="C78:C83"/>
    <mergeCell ref="S78:S79"/>
    <mergeCell ref="T78:T79"/>
    <mergeCell ref="L79:L80"/>
    <mergeCell ref="B82:B83"/>
    <mergeCell ref="B68:B71"/>
    <mergeCell ref="C68:C73"/>
    <mergeCell ref="S68:S69"/>
    <mergeCell ref="T68:T69"/>
    <mergeCell ref="L69:L70"/>
    <mergeCell ref="B72:B73"/>
    <mergeCell ref="C62:C63"/>
    <mergeCell ref="S62:S63"/>
    <mergeCell ref="T62:T63"/>
    <mergeCell ref="C65:C66"/>
    <mergeCell ref="S65:S66"/>
    <mergeCell ref="T65:T66"/>
    <mergeCell ref="C56:C57"/>
    <mergeCell ref="S56:S57"/>
    <mergeCell ref="T56:T57"/>
    <mergeCell ref="C59:C60"/>
    <mergeCell ref="S59:S60"/>
    <mergeCell ref="T59:T60"/>
    <mergeCell ref="T46:T49"/>
    <mergeCell ref="R47:R49"/>
    <mergeCell ref="B51:B52"/>
    <mergeCell ref="C51:C54"/>
    <mergeCell ref="S51:S54"/>
    <mergeCell ref="T51:T54"/>
    <mergeCell ref="R52:R54"/>
    <mergeCell ref="C32:C33"/>
    <mergeCell ref="C35:C36"/>
    <mergeCell ref="C38:C39"/>
    <mergeCell ref="C41:C43"/>
    <mergeCell ref="B46:B47"/>
    <mergeCell ref="C46:C49"/>
    <mergeCell ref="C29:C30"/>
    <mergeCell ref="S29:S31"/>
    <mergeCell ref="Q16:Q19"/>
    <mergeCell ref="C21:C23"/>
    <mergeCell ref="S21:S23"/>
    <mergeCell ref="T21:T23"/>
    <mergeCell ref="L22:L23"/>
    <mergeCell ref="R22:R23"/>
    <mergeCell ref="I15:K19"/>
    <mergeCell ref="L15:Q15"/>
    <mergeCell ref="R15:R19"/>
    <mergeCell ref="S15:S19"/>
    <mergeCell ref="T15:T19"/>
    <mergeCell ref="L16:L19"/>
    <mergeCell ref="M16:M19"/>
    <mergeCell ref="N16:N19"/>
    <mergeCell ref="O16:O19"/>
    <mergeCell ref="P16:P19"/>
    <mergeCell ref="C4:R4"/>
    <mergeCell ref="E5:R5"/>
    <mergeCell ref="A9:B9"/>
    <mergeCell ref="P9:R9"/>
    <mergeCell ref="E10:G10"/>
    <mergeCell ref="A6:T6"/>
    <mergeCell ref="A8:T8"/>
    <mergeCell ref="T230:T231"/>
    <mergeCell ref="T322:T323"/>
    <mergeCell ref="D11:F11"/>
    <mergeCell ref="N11:P11"/>
    <mergeCell ref="J13:L13"/>
    <mergeCell ref="Q13:S13"/>
    <mergeCell ref="A15:A19"/>
    <mergeCell ref="B15:B19"/>
    <mergeCell ref="C15:C19"/>
    <mergeCell ref="D15:D19"/>
    <mergeCell ref="E15:E19"/>
    <mergeCell ref="F15:H19"/>
    <mergeCell ref="C25:C27"/>
    <mergeCell ref="S25:S27"/>
    <mergeCell ref="T25:T27"/>
    <mergeCell ref="L26:L27"/>
    <mergeCell ref="R26:R27"/>
  </mergeCells>
  <pageMargins left="0.7" right="0.19" top="0.46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Armen &amp; Robert</dc:creator>
  <cp:lastModifiedBy>Artyom</cp:lastModifiedBy>
  <cp:lastPrinted>2020-06-04T20:27:36Z</cp:lastPrinted>
  <dcterms:created xsi:type="dcterms:W3CDTF">2000-04-17T03:23:27Z</dcterms:created>
  <dcterms:modified xsi:type="dcterms:W3CDTF">2020-06-10T05:34:39Z</dcterms:modified>
</cp:coreProperties>
</file>