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2025\6․ ՇՄԱՀ-ԳՀԱՇՁԲ-2025\11. ՀՀ ՇՄԱՀ-ԲՄԱՇՁԲ-25-16 Մագիստրալ\"/>
    </mc:Choice>
  </mc:AlternateContent>
  <xr:revisionPtr revIDLastSave="0" documentId="13_ncr:1_{78E05D1E-64F5-48B2-AC3D-0FC21452D91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Հայերեն" sheetId="1" r:id="rId1"/>
    <sheet name="Рус" sheetId="2" r:id="rId2"/>
  </sheets>
  <definedNames>
    <definedName name="_xlnm._FilterDatabase" localSheetId="1" hidden="1">Рус!$C$1:$C$321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8" i="2" l="1"/>
  <c r="D315" i="2"/>
  <c r="D300" i="2"/>
  <c r="D283" i="2"/>
  <c r="D284" i="2" s="1"/>
  <c r="D280" i="2"/>
  <c r="D279" i="2"/>
  <c r="D278" i="2"/>
  <c r="F275" i="2"/>
  <c r="D272" i="2"/>
  <c r="D257" i="2"/>
  <c r="D240" i="2"/>
  <c r="D241" i="2" s="1"/>
  <c r="D237" i="2"/>
  <c r="D236" i="2"/>
  <c r="D235" i="2"/>
  <c r="F232" i="2"/>
  <c r="D229" i="2"/>
  <c r="D210" i="2"/>
  <c r="D204" i="2"/>
  <c r="D190" i="2"/>
  <c r="D189" i="2"/>
  <c r="D186" i="2"/>
  <c r="D185" i="2"/>
  <c r="D184" i="2"/>
  <c r="F181" i="2"/>
  <c r="D178" i="2"/>
  <c r="D163" i="2"/>
  <c r="D146" i="2"/>
  <c r="D147" i="2" s="1"/>
  <c r="D143" i="2"/>
  <c r="D142" i="2"/>
  <c r="D141" i="2"/>
  <c r="F138" i="2"/>
  <c r="D135" i="2"/>
  <c r="D120" i="2"/>
  <c r="D104" i="2"/>
  <c r="D105" i="2" s="1"/>
  <c r="D101" i="2"/>
  <c r="D100" i="2"/>
  <c r="D99" i="2"/>
  <c r="F96" i="2"/>
  <c r="D93" i="2"/>
  <c r="D79" i="2"/>
  <c r="D77" i="2"/>
  <c r="D78" i="2" s="1"/>
  <c r="D73" i="2"/>
  <c r="D71" i="2"/>
  <c r="D56" i="2"/>
  <c r="D57" i="2" s="1"/>
  <c r="D53" i="2"/>
  <c r="D52" i="2"/>
  <c r="D51" i="2"/>
  <c r="D58" i="2" s="1"/>
  <c r="D59" i="2" s="1"/>
  <c r="D47" i="2"/>
  <c r="D28" i="2"/>
  <c r="D24" i="2"/>
  <c r="D15" i="2"/>
  <c r="D14" i="2"/>
  <c r="D11" i="2"/>
  <c r="D10" i="2"/>
  <c r="D9" i="2"/>
  <c r="F318" i="1"/>
  <c r="D315" i="1"/>
  <c r="D300" i="1"/>
  <c r="D283" i="1"/>
  <c r="D284" i="1" s="1"/>
  <c r="D280" i="1"/>
  <c r="D279" i="1"/>
  <c r="D278" i="1"/>
  <c r="F275" i="1"/>
  <c r="D272" i="1"/>
  <c r="D257" i="1"/>
  <c r="D240" i="1"/>
  <c r="D241" i="1" s="1"/>
  <c r="D237" i="1"/>
  <c r="D236" i="1"/>
  <c r="D235" i="1"/>
  <c r="F232" i="1"/>
  <c r="D229" i="1"/>
  <c r="D210" i="1"/>
  <c r="D204" i="1"/>
  <c r="D189" i="1"/>
  <c r="D190" i="1" s="1"/>
  <c r="D186" i="1"/>
  <c r="D185" i="1"/>
  <c r="D184" i="1"/>
  <c r="F181" i="1"/>
  <c r="D178" i="1"/>
  <c r="D163" i="1"/>
  <c r="D146" i="1"/>
  <c r="D147" i="1" s="1"/>
  <c r="D143" i="1"/>
  <c r="D142" i="1"/>
  <c r="D141" i="1"/>
  <c r="F138" i="1"/>
  <c r="D135" i="1"/>
  <c r="D120" i="1"/>
  <c r="D104" i="1"/>
  <c r="D105" i="1" s="1"/>
  <c r="D101" i="1"/>
  <c r="D100" i="1"/>
  <c r="D99" i="1"/>
  <c r="D102" i="1" s="1"/>
  <c r="F96" i="1"/>
  <c r="D93" i="1"/>
  <c r="D79" i="1"/>
  <c r="D77" i="1"/>
  <c r="D78" i="1" s="1"/>
  <c r="D73" i="1"/>
  <c r="D71" i="1"/>
  <c r="D56" i="1"/>
  <c r="D57" i="1" s="1"/>
  <c r="D53" i="1"/>
  <c r="D52" i="1"/>
  <c r="D51" i="1"/>
  <c r="D58" i="1" s="1"/>
  <c r="D59" i="1" s="1"/>
  <c r="D47" i="1"/>
  <c r="D28" i="1"/>
  <c r="D24" i="1"/>
  <c r="D16" i="1"/>
  <c r="D15" i="1"/>
  <c r="D14" i="1"/>
  <c r="D11" i="1"/>
  <c r="D10" i="1"/>
  <c r="D9" i="1"/>
  <c r="F319" i="2" l="1"/>
  <c r="F320" i="2" s="1"/>
  <c r="F321" i="2" s="1"/>
  <c r="D238" i="2"/>
  <c r="D243" i="2" s="1"/>
  <c r="D242" i="2" s="1"/>
  <c r="D16" i="2"/>
  <c r="D17" i="2"/>
  <c r="D144" i="2"/>
  <c r="D149" i="2" s="1"/>
  <c r="D12" i="2"/>
  <c r="D13" i="2" s="1"/>
  <c r="D187" i="2"/>
  <c r="D188" i="2" s="1"/>
  <c r="D281" i="2"/>
  <c r="D102" i="2"/>
  <c r="D12" i="1"/>
  <c r="D13" i="1" s="1"/>
  <c r="D144" i="1"/>
  <c r="D145" i="1" s="1"/>
  <c r="D238" i="1"/>
  <c r="D243" i="1" s="1"/>
  <c r="D242" i="1" s="1"/>
  <c r="D17" i="1"/>
  <c r="F319" i="1"/>
  <c r="F320" i="1" s="1"/>
  <c r="F321" i="1" s="1"/>
  <c r="D187" i="1"/>
  <c r="D281" i="1"/>
  <c r="D103" i="1"/>
  <c r="D107" i="1"/>
  <c r="D239" i="2" l="1"/>
  <c r="D145" i="2"/>
  <c r="D192" i="2"/>
  <c r="D191" i="2" s="1"/>
  <c r="D103" i="2"/>
  <c r="D107" i="2"/>
  <c r="D282" i="2"/>
  <c r="D286" i="2"/>
  <c r="D285" i="2" s="1"/>
  <c r="D239" i="1"/>
  <c r="D149" i="1"/>
  <c r="D192" i="1"/>
  <c r="D191" i="1" s="1"/>
  <c r="D188" i="1"/>
  <c r="D282" i="1"/>
  <c r="D286" i="1"/>
  <c r="D285" i="1" s="1"/>
</calcChain>
</file>

<file path=xl/sharedStrings.xml><?xml version="1.0" encoding="utf-8"?>
<sst xmlns="http://schemas.openxmlformats.org/spreadsheetml/2006/main" count="1247" uniqueCount="281">
  <si>
    <t>Ì³í³É³Ã»ñÃ</t>
  </si>
  <si>
    <t>ՀՀ Շիրակի մարզի ²խուրյան համայնքի Ջաջուռ, Ջաջուռավան, Մեծ Սարիար Կրաշեն,  բնակավայրերի սնող գազատարերի կառուցման շինարարական աշխատանքներ</t>
  </si>
  <si>
    <t xml:space="preserve">ÐÐ                     </t>
  </si>
  <si>
    <t xml:space="preserve">²ßË³ï³ÝùÝ»ñÇ ¨ Í³Ëë»ñÇ ³Ýí³ÝáõÙÁ                 </t>
  </si>
  <si>
    <t xml:space="preserve">â/Ø                </t>
  </si>
  <si>
    <t xml:space="preserve">ø³Ý³ÏÁ   </t>
  </si>
  <si>
    <t>ÙÇ³íáñÇ ·ÇÝ
Ñ³½.¹ñ</t>
  </si>
  <si>
    <t>ÀÝ¹Ñ³ÝáõñÁ (Ñ³½. ¹ñ³Ù)    5x6</t>
  </si>
  <si>
    <t>ՊԿ 67+50 - ՊԿ 70+87  միջին ճնշում</t>
  </si>
  <si>
    <t>Տարածքի համահարթեցում մեխանիզմով, ժամանակավոր ճանապարհի կառուցման համար</t>
  </si>
  <si>
    <t>Ù2</t>
  </si>
  <si>
    <t xml:space="preserve">3-րդ կարգի գրունտի մշակում մեխանիզմով,  կողլիցք, </t>
  </si>
  <si>
    <t>Ù3</t>
  </si>
  <si>
    <t xml:space="preserve">4-րդ կարգի գրունտի մշակում մեխանիզմով,  կողլիցք, </t>
  </si>
  <si>
    <t xml:space="preserve">3-րդ կարգի գրունտի մշակում ձեռքով,  </t>
  </si>
  <si>
    <t>Ավելորդ գրունտի մեխանիզմով  բարձում  ավտոինքնաթափերի վրա</t>
  </si>
  <si>
    <t>մ3</t>
  </si>
  <si>
    <t>Տեղափոխություն 3կմ</t>
  </si>
  <si>
    <t>ïÝ</t>
  </si>
  <si>
    <t xml:space="preserve">Ավազի նախապատրաստական  շերտերի  իրականացում,  խողովակների տակ, 10սմ հաստ  </t>
  </si>
  <si>
    <r>
      <t>մ</t>
    </r>
    <r>
      <rPr>
        <vertAlign val="superscript"/>
        <sz val="11"/>
        <rFont val="Arial LatArm"/>
        <family val="2"/>
      </rPr>
      <t>3</t>
    </r>
  </si>
  <si>
    <t>Խրամուղու հետլիցք,ձեռքով, մանրահատիկ ավազով, 20սմ հաստ. խողովակի վրա</t>
  </si>
  <si>
    <t>Գրունտի տոփանում</t>
  </si>
  <si>
    <t xml:space="preserve">Հետլիցք  մեխանիզմով  տեղական փափուկ գրունտով,   20սմ հաստ. շերտային  խտացումով </t>
  </si>
  <si>
    <t>Ասֆալտբետոնե ծածկույթի կտրում սղոցով</t>
  </si>
  <si>
    <t>մ</t>
  </si>
  <si>
    <t>Խոշորահատիկ ա/բ ծածկույթի վերականգնում, h=6սմ հաստությամբ</t>
  </si>
  <si>
    <r>
      <t>մ</t>
    </r>
    <r>
      <rPr>
        <vertAlign val="superscript"/>
        <sz val="11"/>
        <rFont val="Arial LatArm"/>
        <family val="2"/>
      </rPr>
      <t>2</t>
    </r>
  </si>
  <si>
    <t>Մանրահատիկ ա/բ   վերականգնում, h=4 սմ հաստությամբ</t>
  </si>
  <si>
    <t xml:space="preserve">Ճանապարհային խճային ծածկույթի վերականգնում, h=15սմ </t>
  </si>
  <si>
    <t>մ2</t>
  </si>
  <si>
    <t xml:space="preserve">SDR17. PN10/PH100 D=225x13.4mmպոլիէթիլենե խողովակների  մոնտաժում, </t>
  </si>
  <si>
    <t>գծմ</t>
  </si>
  <si>
    <t xml:space="preserve">Պոլիէթիլենային  ձևավոր մասերի տեղադրում                                                                                      - եռաբաշխիչ  225-125-225,  1Ñ³ï                                </t>
  </si>
  <si>
    <t>10 հատ</t>
  </si>
  <si>
    <t xml:space="preserve">Ձևավոր մասեր` անցում մետաղից պոլիէթիլեն`  125մմ-ից 125մմ                                                       </t>
  </si>
  <si>
    <t>հատ</t>
  </si>
  <si>
    <t xml:space="preserve">Գազի սողակային փականներ d=125,   </t>
  </si>
  <si>
    <t xml:space="preserve">Մետաղե խողովակների տեղադրում  d=219x4,5ÙÙ     </t>
  </si>
  <si>
    <t>·ÍÙ</t>
  </si>
  <si>
    <t xml:space="preserve">Մետաղե խողովակների տեղադրում  d=219x4.5ÙÙ     </t>
  </si>
  <si>
    <t xml:space="preserve">äáÕå³ï» Ó¨³íáñ Ù³ë»ñÇ ï»Õ³¹ñáõÙ,                                            - արմունկd=125x4,0ÙÙ, 5Ñ³ï                                                         - արմունկ d=133x4,0ÙÙ,2Ñ³ï                                                                  -  անցում  d=225-225,  2հատ                                                                                                                                                                                 </t>
  </si>
  <si>
    <t xml:space="preserve">äáÕå³ï» ³ÛÉ  Ó¨³íáñ Ù³ë»ñÇ ï»Õ³¹ñáõÙ,                                                                                                  </t>
  </si>
  <si>
    <t>Ï·</t>
  </si>
  <si>
    <t xml:space="preserve">Մետաղե խողովակներով պատյանների տեղադրում  d=325x4,5ÙÙ     </t>
  </si>
  <si>
    <t xml:space="preserve">Մետաղե խողովակներով պատյանների  տեղադրում  d=325x4.5մմ </t>
  </si>
  <si>
    <t xml:space="preserve">Պատյանների եզրերի  խցափակում`,  d=325x4.5մմ </t>
  </si>
  <si>
    <t>տեղ</t>
  </si>
  <si>
    <t xml:space="preserve">Պատյանների եզրերի  խցափակում` խծուծ-տաք բիտում,  20կգ, </t>
  </si>
  <si>
    <t>Հենասյուների բետոնե հիմքեր, բետոն  B15</t>
  </si>
  <si>
    <t xml:space="preserve">Մետաղե խողովակներով հենասյուներ տեղադրում  d=127x4ÙÙ     </t>
  </si>
  <si>
    <t>Այլ տիպի մետաղե ձևավոր մասեր</t>
  </si>
  <si>
    <t>Գազի խողովակաշարի փչամաքրում</t>
  </si>
  <si>
    <t>Գազի խողովակաշարի փորձարկում</t>
  </si>
  <si>
    <t>Խողովակաշարի կարերի գործիքային ստուգոմ                          /12մ-ց խողովակներ/</t>
  </si>
  <si>
    <t>կցվանք</t>
  </si>
  <si>
    <t>Պոլիէթիլենե դետեկցիոն`բացահայտիչ ազդանշանային ժապավեն</t>
  </si>
  <si>
    <t>Գազատարի միացումը գործող ցանցին</t>
  </si>
  <si>
    <t xml:space="preserve">Խճե նախապատրաստական   շերտ ՊԳԿԿ պահարանի տակ,  </t>
  </si>
  <si>
    <t>ՊԳԿԿ պահարանի տակ բետոնե շերտ  B12.5</t>
  </si>
  <si>
    <t xml:space="preserve">ՊԳԿԿ-100  տեղադրում , </t>
  </si>
  <si>
    <t>Ñ³ï</t>
  </si>
  <si>
    <t>Բետոնե հիմքեր`  B15</t>
  </si>
  <si>
    <t xml:space="preserve">Մետաղե ցուցանակների  տեղադրում  d=57մմ  խողովակների  վրա , 4հատ                                                 </t>
  </si>
  <si>
    <t>նշան</t>
  </si>
  <si>
    <t xml:space="preserve">Խողովակաշարի մետաղե մասերի  հակակոռոզիոն ներկում </t>
  </si>
  <si>
    <t>100Ù2</t>
  </si>
  <si>
    <t>Գազատարի խցափակում</t>
  </si>
  <si>
    <t>Գազատարի երկարությամբ պղնձալարի անցկացում</t>
  </si>
  <si>
    <t>100գծմ</t>
  </si>
  <si>
    <t xml:space="preserve"> SDR17. PN10/PH100 D=225x13.4mm պոլիէթիլենե խողովակների  մոնտաժում, </t>
  </si>
  <si>
    <t xml:space="preserve">SDR17.6 PN10/PH100 D=250x14.8mm պոլիէթիլենե խողովակների  մոնտաժում, </t>
  </si>
  <si>
    <t xml:space="preserve"> d=110 պոլիէթիլենե խողովակների  մոնտաժում, </t>
  </si>
  <si>
    <t xml:space="preserve">Պոլիէթիլենային  ձևավոր մասերի տեղադրում                                                                                      - եռաբաշխիչ  225-125-225,  3Ñ³ï                                                       - եռաբաշխիչ  250-125-250,  2Ñ³ï                                                 - արմունկ  ,  24Ñ³ï                                                                                    - անցում ,  160-125,   20Ñ³ï                        </t>
  </si>
  <si>
    <t xml:space="preserve">Պոլիէթիլենային  այլ տիպի ձևավոր մասերի տեղադրում                                                                                       -  Պոլիէթիլենային  այլ տիպի ձևավոր մասեր                                                                                                                             </t>
  </si>
  <si>
    <t xml:space="preserve">Ձևավոր մասեր` անցում մետաղից պոլիէթիլեն`                       -225մմ-ից 125մմ, 4հատ                                                           -160մմ-ից 250մմ , 8 հատ                                                   </t>
  </si>
  <si>
    <t xml:space="preserve">Մետաղե խողովակների տեղադրում  d=219x4,5մմ   </t>
  </si>
  <si>
    <t xml:space="preserve">äáÕå³ï» Ó¨³íáñ Ù³ë»ñÇ ï»Õ³¹ñáõÙ,                                            - արմունկd=250x4,5ÙÙ, 1Ñ³ï                                                         - արմունկ d=133x4,0ÙÙ,6Ñ³ï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</si>
  <si>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Մետաղե խողովակներով պատյանների  տեղադրում  d=300x4մմ </t>
  </si>
  <si>
    <t xml:space="preserve">Պատյանների եզրերի  խցափակում` խծուծ-տաք բիտում,  250կգ, </t>
  </si>
  <si>
    <t>Փոսորակի գրունտի ձեռքով մշակում  հենասյուների համար, 8 տեղ</t>
  </si>
  <si>
    <t xml:space="preserve"> Քանդված գրունտի ձեռքով բարձում ինքնաթափերի վրա</t>
  </si>
  <si>
    <t>տն</t>
  </si>
  <si>
    <t>Տեղափոխություն 3 կմ</t>
  </si>
  <si>
    <t>Բետոնե հիմքեր, բետոն  B12,5</t>
  </si>
  <si>
    <t xml:space="preserve">Մետաղե խողովակներով հենասյուներ d=150x3,0մմ,   </t>
  </si>
  <si>
    <t>Հենասյուների տակ  200x200x4մմ    չափ. մետաղաթերթի տեղադրում           8հատx1.26կգ=11կգ</t>
  </si>
  <si>
    <t xml:space="preserve">Կիսախողովակների տեղադրում գազատարի տակ                    </t>
  </si>
  <si>
    <t>Այլ տիպի մետաղե հարմարանքներ</t>
  </si>
  <si>
    <t xml:space="preserve">Մետաղե ցուցանակների  տեղադրում  d=57մմ  խողովակների  վրա , 68հատ                                                 </t>
  </si>
  <si>
    <t>Ընդամենը</t>
  </si>
  <si>
    <t>Կրաշեն ՊԿ 0+00 - ՊԿ 7+60 միջին ճնշում</t>
  </si>
  <si>
    <t xml:space="preserve">  PN8  ПЭ100,  d=125x6.7մմ, պոլիէթիլենե խողովակների  մոնտաժում, </t>
  </si>
  <si>
    <t>ՊԳԿԿ պահարանի տեղադրում , հաշվիչով, 100մ3/ժամ</t>
  </si>
  <si>
    <t xml:space="preserve">Պոլիէթիլենային  ձևավոր մասերի տեղադրում                                                                                                                            - արմունկ  ,  2Ñ³ï                                                                                                   </t>
  </si>
  <si>
    <t xml:space="preserve">Ձևավոր մասեր` անցում մետաղից պոլիէթիլեն`                       -125մմ-ից 125մմ, 2հատ                                                                                                         </t>
  </si>
  <si>
    <t xml:space="preserve">Գազի գնդիկավոր փականներ d=125,   </t>
  </si>
  <si>
    <t xml:space="preserve">äáÕå³ï» Ó¨³íáñ Ù³ë»ñÇ ï»Õ³¹ñáõÙ,                                                                                                  - արմունկ d=125x4,0ÙÙ,3Ñ³ï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</si>
  <si>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Մետաղե խողովակներով պատյանների  տեղադրում  d=200x4մմ </t>
  </si>
  <si>
    <t>Պատյանների եզրերի  խցափակում` խծուծ-տաք բիտում,</t>
  </si>
  <si>
    <t xml:space="preserve">Մետաղե ցուցանակների  տեղադրում  d=57մմ  խողովակների  վրա , 5հատ                                                 </t>
  </si>
  <si>
    <t>Ջաջուռ-1  ՊԿ0+00 - ՊԿ6+34 միջին ճնշում</t>
  </si>
  <si>
    <t xml:space="preserve">Պոլիէթիլենային  ձևավոր մասերի տեղադրում                                                                                                                                       - եռաբաշխիչ  160-125-160, 1Ñ³ï                                                             </t>
  </si>
  <si>
    <t xml:space="preserve">Մետաղե ցուցանակների  տեղադրում  d=57մմ  խողովակների  վրա , 3հատ                                                 </t>
  </si>
  <si>
    <t>Ջաջուռ-2  ՊԿ0+00 - ՊԿ6+33 միջին ճնշում</t>
  </si>
  <si>
    <t xml:space="preserve">Մետաղե խողովակների տեղադրում  d=133x4,ÙÙ     </t>
  </si>
  <si>
    <t xml:space="preserve">Մետաղե խողովակների տեղադրում  d=127x4ÙÙ     </t>
  </si>
  <si>
    <t xml:space="preserve">äáÕå³ï» Ó¨³íáñ Ù³ë»ñÇ ï»Õ³¹ñáõÙ,                                                                                                                                                                                       </t>
  </si>
  <si>
    <t xml:space="preserve">Մետաղե խողովակներով պատյանների տեղադրում  d=133x4,ÙÙ     </t>
  </si>
  <si>
    <t xml:space="preserve">Ձևավոր մասեր` անցում մետաղից պոլիէթիլեն`                       -125մմ-ից 125մմ, 4հատ                                                                                                         </t>
  </si>
  <si>
    <t>Ջաջուռավան-1  ՊԿ0+00 - ՊԿ1+65 միջին ճնշում</t>
  </si>
  <si>
    <t xml:space="preserve">Գազի սողնակային փականներ d=125,   </t>
  </si>
  <si>
    <t xml:space="preserve">Մետաղե խողովակներով պատյանների  տեղադրում  d=219x4.0մմ </t>
  </si>
  <si>
    <t>Ջաջուռավան-2  ՊԿ0+00 - ՊԿ3+89 միջին ճնշում</t>
  </si>
  <si>
    <t xml:space="preserve">Մետաղե խողովակներով պատյանների  տեղադրում  d=219x4մմ </t>
  </si>
  <si>
    <t>ԱԱՀ 20</t>
  </si>
  <si>
    <t>%</t>
  </si>
  <si>
    <t>ÀÝ¹³Ù»ÝÁ</t>
  </si>
  <si>
    <t>ТИТУЛЬНЫЙ  ЛИСТ</t>
  </si>
  <si>
    <t>Строительные работы по строительству газопроводов, питающих населенные пункты Джаджур, Джаджураван, Мец Сариар Крашен, в общине Ахурян Ширакской области Республики Армения</t>
  </si>
  <si>
    <t>Стоимость единицы, тысяча драм</t>
  </si>
  <si>
    <t>Общий, тысяча драм</t>
  </si>
  <si>
    <t xml:space="preserve">№                     </t>
  </si>
  <si>
    <t xml:space="preserve">Название работ и стоимость               </t>
  </si>
  <si>
    <t xml:space="preserve">е/и               </t>
  </si>
  <si>
    <t xml:space="preserve">количество  </t>
  </si>
  <si>
    <t>ПК 67+50 – ПК 70+87: среднее давление</t>
  </si>
  <si>
    <t>Выравнивание участка механизмом для строительства временной дороги</t>
  </si>
  <si>
    <t>Обработка грунта 3-го класса механизмом с выемкой</t>
  </si>
  <si>
    <t>Обработка грунта 4-го класса механизмом с выемкой</t>
  </si>
  <si>
    <t>Обработка грунта 3-го класса вручную</t>
  </si>
  <si>
    <t>Погрузка избыточного грунта механизмом на самосвалы</t>
  </si>
  <si>
    <t>Перемещение на 3 км</t>
  </si>
  <si>
    <t>Устройство подготовительного песчаного слоя под трубы, толщ. 10 см</t>
  </si>
  <si>
    <t>Механизированное обратное заполнение траншеи вручную 
мелкозернистым песком, толщ. 20 см над трубой</t>
  </si>
  <si>
    <t>Уплотнение грунта трамбовкой</t>
  </si>
  <si>
    <t>Обратное заполнение механизмом местным мягким грунтом, 
толщ. 20 см с послойным уплотнением</t>
  </si>
  <si>
    <t>Резка асфальтобетонного покрытия дисковой пилой</t>
  </si>
  <si>
    <t>Восстановление крупнозернистого асфальтобетонного покрытия, толщ. 6 см</t>
  </si>
  <si>
    <t>Восстановление мелкозернистого асфальтобетонного покрытия, толщ. 4 см</t>
  </si>
  <si>
    <t>Восстановление щебёночно-песчаного покрытия, толщ. 15 см</t>
  </si>
  <si>
    <t>Монтаж полиэтиленовых труб SDR17 PN10/PH100 D=225×13.4 мм</t>
  </si>
  <si>
    <t>Установка полиэтиленовых фасонных частей:
— тройник 225–125–225, 1 шт</t>
  </si>
  <si>
    <t>Переходные фасонные части: металл → полиэтилен 125 мм → 125 мм</t>
  </si>
  <si>
    <t>Установки газовых задвижек d=125 мм</t>
  </si>
  <si>
    <t xml:space="preserve">Монтаж стальных труб d=219×4,5 мм </t>
  </si>
  <si>
    <t>Фасонные части, металл → полиэтилен:
— угол d=125×4,0 мм, 5 шт
— угол d=133×4,0 мм, 2 шт
— переход d=225–225, 2 шт</t>
  </si>
  <si>
    <t>Фасонные части, вторая группа, металл → полиэтилен</t>
  </si>
  <si>
    <t xml:space="preserve">Монтаж стальных футляров d=325×4,5 мм </t>
  </si>
  <si>
    <t>Герметизация торцов футляров d=325×4,5 мм</t>
  </si>
  <si>
    <t>Герметизация торцов футляров горячим битумом, 20 кг</t>
  </si>
  <si>
    <t>Бетонные фундаменты под опорные стойки, бетон В15</t>
  </si>
  <si>
    <t>Монтаж стальных опорных стоек d=127×4 мм</t>
  </si>
  <si>
    <t>Другие виды металлических фасонных частей</t>
  </si>
  <si>
    <t>Опорожнение газопровода (продувка)</t>
  </si>
  <si>
    <t>Испытание газопровода</t>
  </si>
  <si>
    <t>Инструментальная проверка сварных швов трубопровода
 /на трубах длиной до 12 м/</t>
  </si>
  <si>
    <t>Укладка полиэтиленовой детекционной сигнальной ленты</t>
  </si>
  <si>
    <t>Подключение газопровода к действующей сети</t>
  </si>
  <si>
    <t>Устройство подготовительного щебёночного слоя под 
ПГКК-камиру (пожарный/газовый капсулационный короб)</t>
  </si>
  <si>
    <t>Бетонный слой под ПГКК B12.5</t>
  </si>
  <si>
    <t>Установка ПГКК-100</t>
  </si>
  <si>
    <t>Бетонные фундаменты B15</t>
  </si>
  <si>
    <t>Установка металлических указателей на трубах d=57 мм, 4 шт</t>
  </si>
  <si>
    <t>Антикоррозионная окраска металлических частей трубопровода</t>
  </si>
  <si>
    <t>Герметизация газопровода</t>
  </si>
  <si>
    <t>Прокладка медного провода вдоль газопровода</t>
  </si>
  <si>
    <t>Устройство подготовительного песчаного слоя под трубами, толщиной 10 см</t>
  </si>
  <si>
    <t>Обратная засыпка траншеи вручную мелкозернистым песком 
над трубой, толщиной 20 см</t>
  </si>
  <si>
    <t>Уплотнение грунта</t>
  </si>
  <si>
    <t>Механизированная обратная засыпка местным мягким 
грунтом, послойное уплотнение, толщина слоя 20 см</t>
  </si>
  <si>
    <t>Восстановление крупнозернистого асфальтобетона, толщина 6 см</t>
  </si>
  <si>
    <t>Восстановление мелкозернистого асфальтобетона, толщина 4 см</t>
  </si>
  <si>
    <t>Восстановление щебёночного дорожного покрытия, толщина 15 см</t>
  </si>
  <si>
    <t>Монтаж полиэтиленовых труб SDR17, PN10/PH100, D=225×13.4 мм</t>
  </si>
  <si>
    <t>Монтаж полиэтиленовых труб SDR17.6, PN10/PH100, 
D=250×14.8 мм</t>
  </si>
  <si>
    <t>Монтаж полиэтиленовых труб диаметром 110 мм</t>
  </si>
  <si>
    <t>Установка полиэтиленовых фасонных частей:
Тройник 225–125–225
Тройник 250–125–250
Отвод
Переход 160–125 мм</t>
  </si>
  <si>
    <t>Установка других типов полиэтиленовых фасонных частей</t>
  </si>
  <si>
    <t>Фасонные части – переход с металла на полиэтилен:
С 225 мм на 125 мм – 4 шт.
С 160 мм на 250 мм – 8 шт.</t>
  </si>
  <si>
    <t>Монтаж стальных труб D=219×4.5 мм</t>
  </si>
  <si>
    <t xml:space="preserve"> Установка стальных фасонных частей:
– Отвод D=250×4.5 мм — 1 шт.
– Отвод D=133×4.0 мм — 6 шт.</t>
  </si>
  <si>
    <t>Монтаж прочих стальных фасонных элементов</t>
  </si>
  <si>
    <t xml:space="preserve">Монтаж стальных футляров D=300×4 мм </t>
  </si>
  <si>
    <t xml:space="preserve">Монтаж стальных футляров D=300x4 мм </t>
  </si>
  <si>
    <t>Герметизация торцов футляров горячим битумом, 250 кг</t>
  </si>
  <si>
    <t>Ручная разработка грунта под опоры – 8 мест</t>
  </si>
  <si>
    <t>Ручная погрузка выкопанного грунта в самосвалы</t>
  </si>
  <si>
    <t>Перевозка на 3 км</t>
  </si>
  <si>
    <t>Бетонные фундаменты, бетон B12.5</t>
  </si>
  <si>
    <t>Установка опор из стальных труб D=150×3.0 мм</t>
  </si>
  <si>
    <t>Установка металлического листа под опоры размером 
200×200×4 мм (8 шт. × 1.26 кг = 11 кг)</t>
  </si>
  <si>
    <t>Монтаж полутруб под газопровод</t>
  </si>
  <si>
    <t>Металлические конструкции другого типа</t>
  </si>
  <si>
    <t>Продувка газопровода</t>
  </si>
  <si>
    <t>Прокладка полиэтиленовой детекционной (сигнальной) 
ленты</t>
  </si>
  <si>
    <t>Механизированная разработка грунта IV категории с отвалом</t>
  </si>
  <si>
    <t>Погрузка избыточного грунта механизмом в самосвалы</t>
  </si>
  <si>
    <t>Бетонные фундаменты, бетон B15</t>
  </si>
  <si>
    <t>Установка металлических знаков на трубах D=57 мм — 68 шт.</t>
  </si>
  <si>
    <t>Прокладка медного кабеля вдоль газопровода</t>
  </si>
  <si>
    <t xml:space="preserve">Итого </t>
  </si>
  <si>
    <t>НДС</t>
  </si>
  <si>
    <t>Всего</t>
  </si>
  <si>
    <t>Крашен ПК 0+00 – ПК 7+60: Среднее давление</t>
  </si>
  <si>
    <t>Выравнивание участка механизмом для устройства временной дороги</t>
  </si>
  <si>
    <t>Разработка грунта III категории механизмом, с отвалом</t>
  </si>
  <si>
    <t>Разработка грунта IV категории механизмом, с отвалом</t>
  </si>
  <si>
    <t>Разработка грунта III категории вручную</t>
  </si>
  <si>
    <t>Транспортировка на 3 км</t>
  </si>
  <si>
    <t>Устройство подготовительного песчаного слоя под трубы, толщиной 10 см</t>
  </si>
  <si>
    <t>Обратная засыпка траншеи вручную мелкозернистым песком, 20 см над трубой</t>
  </si>
  <si>
    <t>Обратная засыпка механизмом местным мягким грунтом с 
послойным уплотнением, слой 20 см</t>
  </si>
  <si>
    <t>Резка асфальтобетонного покрытия пилой</t>
  </si>
  <si>
    <t>Восстановление крупнозернистого асфальтобетона, 
толщина 6 см</t>
  </si>
  <si>
    <t>Восстановление мелкозернистого асфальтобетона, 
толщина 4 см</t>
  </si>
  <si>
    <t>Восстановление щебёночного дорожного покрытия, 
толщина 15 см</t>
  </si>
  <si>
    <t>Монтаж полиэтиленовых труб PN8, ПЭ100, D=125×6.7 мм</t>
  </si>
  <si>
    <t>Устройство подготовительного щебёночного слоя под шкаф ПГКК</t>
  </si>
  <si>
    <t>Бетонный слой под шкаф ПГКК, бетон B12.5</t>
  </si>
  <si>
    <t>Монтаж шкафа ПГКК с расходомером, 100 м³/ч</t>
  </si>
  <si>
    <t>Монтаж полиэтиленовых труб D=110 мм</t>
  </si>
  <si>
    <t>Установка полиэтиленовых фасонных частей:
– Отвод — 2 шт.</t>
  </si>
  <si>
    <t>Фасонные части: переход с металла на полиэтилен:
– С 125 мм на 125 мм — 2 шт.</t>
  </si>
  <si>
    <t>Установка шаровых газовых кранов D=125 мм</t>
  </si>
  <si>
    <t>Установка стальных фасонных частей: Отвод D=125×4.0 мм — 3 шт.</t>
  </si>
  <si>
    <t>Установка прочих стальных фасонных элементов</t>
  </si>
  <si>
    <t>Монтаж защитных футляров из металлических труб
 D=200×4 мм</t>
  </si>
  <si>
    <t>Герметизация торцов футляров горячим битумом</t>
  </si>
  <si>
    <t>Продувка (очистка) газопровода</t>
  </si>
  <si>
    <t>Прокладка полиэтиленовой детекционной сигнальной ленты</t>
  </si>
  <si>
    <t>Разработка грунта IV категории механизмом с отвалом (повторно)</t>
  </si>
  <si>
    <t>Погрузка избыточного грунта в самосвалы</t>
  </si>
  <si>
    <t>Установка металлических указателей на трубах D=57 мм — 5 шт.</t>
  </si>
  <si>
    <t>Инструментальный контроль сварных швов трубопровода 
(трубы до 12 м)</t>
  </si>
  <si>
    <t>Антикоррозийная окраска металлических частей трубопровода</t>
  </si>
  <si>
    <t>Джаджур-1 ПК0+00 – ПК6+34: Среднее давление</t>
  </si>
  <si>
    <t>Разработка грунта III категории механизмом с отвалом</t>
  </si>
  <si>
    <t>Разработка грунта IV категории механизмом с отвалом</t>
  </si>
  <si>
    <t>Обратная засыпка траншеи вручную мелкозернистым песком над трубой, толщина 20 см</t>
  </si>
  <si>
    <t>Обратная засыпка механизмом местным мягким грунтом с послойным уплотнением, слой 20 см</t>
  </si>
  <si>
    <t>Установка полиэтиленовых фасонных частей:
  – Тройник 160-125-160 — 1 шт.</t>
  </si>
  <si>
    <t>Установка полиэтиленовых фасонных частей:
  – Отвод</t>
  </si>
  <si>
    <t>Фасонные части: переход с металла на полиэтилен:
  – С 125 мм на 125 мм — 2 шт.</t>
  </si>
  <si>
    <t>Монтаж стальных фасонных частей:
  – Отвод D=125×4.0 мм — 3 шт</t>
  </si>
  <si>
    <t>Монтаж защитных футляров из металлических труб D=200×4 мм</t>
  </si>
  <si>
    <t>Установка металлических указателей на трубах D=57 мм — 3 шт</t>
  </si>
  <si>
    <t>Инструментальный контроль сварных швов трубопровода (12-метровые трубы)</t>
  </si>
  <si>
    <t>Джаджур-2 ПК0+00 – ПК6+33: Среднее давление</t>
  </si>
  <si>
    <t>Монтаж металлических труб D=133×4 мм</t>
  </si>
  <si>
    <t>Монтаж металлических труб D=127×4 мм</t>
  </si>
  <si>
    <t>Монтаж стальных фасонных частей</t>
  </si>
  <si>
    <t>Монтаж защитных футляров из металлических труб D=133×4 мм</t>
  </si>
  <si>
    <t>Установка полиэтиленовых фасонных частей:
  – Отвод — 2 шт.</t>
  </si>
  <si>
    <t>Фасонные части: переход с металла на полиэтилен:
  – С 125 мм на 125 мм — 4 шт.</t>
  </si>
  <si>
    <t>Монтаж стальных фасонных частей:
  – Отвод D=125×4.0 мм — 3 шт.</t>
  </si>
  <si>
    <t>Герметизация торцов футляров горячим битумом (20 кг)</t>
  </si>
  <si>
    <t>Бетонные фундаменты для опор, бетон B15</t>
  </si>
  <si>
    <t>Установка металлических опор из труб D=127×4 мм</t>
  </si>
  <si>
    <t>Прочие металлические фасонные изделия</t>
  </si>
  <si>
    <t>Установка металлических указателей на трубах D=57 мм — 4 шт.</t>
  </si>
  <si>
    <t>Джаджураван-1 ПК0+00 – ПК1+65: Среднее давление</t>
  </si>
  <si>
    <t xml:space="preserve">Фасонные части: переход с металла на полиэтилен:
  – С 125 мм на 125 мм — 4 шт.
</t>
  </si>
  <si>
    <t>Газовые шланговые клапаны D=125 мм</t>
  </si>
  <si>
    <t>Монтаж стальных фасонных частей:
  – Отвод D=125×4,0 мм — 3 шт.</t>
  </si>
  <si>
    <t>Монтаж защитных футляров из металлических труб D=219×4,0 мм</t>
  </si>
  <si>
    <t>Джаджураван-2 ПК0+00 – ПК3+89: Среднее давление</t>
  </si>
  <si>
    <t>м2</t>
  </si>
  <si>
    <t>м3</t>
  </si>
  <si>
    <t>100м2</t>
  </si>
  <si>
    <t>тн</t>
  </si>
  <si>
    <t>м</t>
  </si>
  <si>
    <t>пм</t>
  </si>
  <si>
    <t>100пм</t>
  </si>
  <si>
    <t>шт</t>
  </si>
  <si>
    <t>вл</t>
  </si>
  <si>
    <t>10 шт</t>
  </si>
  <si>
    <t>место</t>
  </si>
  <si>
    <t>кг</t>
  </si>
  <si>
    <t>кус․</t>
  </si>
  <si>
    <t>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</si>
</sst>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0"/>
    <numFmt numFmtId="167" formatCode="0.0000"/>
  </numFmts>
  <fonts count="16">
    <font>
      <sz val="11"/>
      <color theme="1"/>
      <name val="Calibri"/>
      <family val="2"/>
      <scheme val="minor"/>
    </font>
    <font>
      <sz val="11"/>
      <name val="Arial LatArm"/>
      <family val="2"/>
    </font>
    <font>
      <sz val="9"/>
      <name val="Arial Armenian"/>
      <family val="2"/>
    </font>
    <font>
      <b/>
      <sz val="11"/>
      <name val="Arial LatArm"/>
      <family val="2"/>
    </font>
    <font>
      <sz val="10"/>
      <name val="Arial Armenian"/>
      <family val="2"/>
    </font>
    <font>
      <b/>
      <i/>
      <sz val="11"/>
      <name val="Arial LatArm"/>
      <family val="2"/>
    </font>
    <font>
      <b/>
      <sz val="12"/>
      <name val="Arial LatArm"/>
      <family val="2"/>
    </font>
    <font>
      <b/>
      <sz val="11"/>
      <color rgb="FFFF0000"/>
      <name val="Arial LatArm"/>
      <family val="2"/>
    </font>
    <font>
      <sz val="10"/>
      <name val="Arial"/>
      <family val="2"/>
      <charset val="204"/>
    </font>
    <font>
      <vertAlign val="superscript"/>
      <sz val="11"/>
      <name val="Arial LatArm"/>
      <family val="2"/>
    </font>
    <font>
      <b/>
      <sz val="10"/>
      <name val="Arial LatArm"/>
      <family val="2"/>
    </font>
    <font>
      <b/>
      <sz val="9"/>
      <name val="Arial LatArm"/>
      <family val="2"/>
    </font>
    <font>
      <sz val="11"/>
      <name val="Arial"/>
      <family val="2"/>
      <charset val="204"/>
    </font>
    <font>
      <sz val="11"/>
      <name val="Arial LatArm"/>
      <family val="2"/>
      <charset val="204"/>
    </font>
    <font>
      <sz val="8"/>
      <name val="Calibri"/>
      <family val="2"/>
      <scheme val="minor"/>
    </font>
    <font>
      <sz val="10"/>
      <name val="Arial LatArm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2" fillId="0" borderId="0"/>
    <xf numFmtId="0" fontId="8" fillId="0" borderId="0"/>
    <xf numFmtId="0" fontId="2" fillId="0" borderId="0"/>
    <xf numFmtId="0" fontId="8" fillId="0" borderId="0"/>
    <xf numFmtId="0" fontId="4" fillId="0" borderId="0"/>
  </cellStyleXfs>
  <cellXfs count="64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2" borderId="2" xfId="1" applyFont="1" applyFill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2" fontId="1" fillId="0" borderId="2" xfId="3" applyNumberFormat="1" applyFont="1" applyBorder="1" applyAlignment="1">
      <alignment horizontal="left" vertical="center" wrapText="1"/>
    </xf>
    <xf numFmtId="0" fontId="1" fillId="0" borderId="2" xfId="3" applyFont="1" applyBorder="1" applyAlignment="1">
      <alignment horizontal="center" vertical="center" wrapText="1"/>
    </xf>
    <xf numFmtId="164" fontId="7" fillId="0" borderId="2" xfId="3" applyNumberFormat="1" applyFont="1" applyBorder="1" applyAlignment="1">
      <alignment horizontal="center" vertical="center"/>
    </xf>
    <xf numFmtId="165" fontId="1" fillId="0" borderId="2" xfId="1" applyNumberFormat="1" applyFont="1" applyBorder="1" applyAlignment="1">
      <alignment horizontal="center" vertical="center"/>
    </xf>
    <xf numFmtId="164" fontId="1" fillId="0" borderId="2" xfId="1" applyNumberFormat="1" applyFont="1" applyBorder="1" applyAlignment="1">
      <alignment horizontal="center" vertical="center"/>
    </xf>
    <xf numFmtId="2" fontId="7" fillId="0" borderId="2" xfId="3" applyNumberFormat="1" applyFont="1" applyBorder="1" applyAlignment="1">
      <alignment horizontal="center" vertical="center"/>
    </xf>
    <xf numFmtId="0" fontId="1" fillId="0" borderId="2" xfId="4" applyFont="1" applyBorder="1" applyAlignment="1">
      <alignment horizontal="center" vertical="center" wrapText="1"/>
    </xf>
    <xf numFmtId="2" fontId="7" fillId="0" borderId="2" xfId="5" applyNumberFormat="1" applyFont="1" applyBorder="1" applyAlignment="1">
      <alignment horizontal="center" vertical="center"/>
    </xf>
    <xf numFmtId="0" fontId="1" fillId="0" borderId="2" xfId="4" applyFont="1" applyBorder="1" applyAlignment="1">
      <alignment horizontal="left" vertical="center" wrapText="1"/>
    </xf>
    <xf numFmtId="164" fontId="7" fillId="0" borderId="2" xfId="5" applyNumberFormat="1" applyFont="1" applyBorder="1" applyAlignment="1">
      <alignment horizontal="center" vertical="center"/>
    </xf>
    <xf numFmtId="1" fontId="7" fillId="0" borderId="2" xfId="3" applyNumberFormat="1" applyFont="1" applyBorder="1" applyAlignment="1">
      <alignment horizontal="center" vertical="center"/>
    </xf>
    <xf numFmtId="1" fontId="7" fillId="0" borderId="2" xfId="5" applyNumberFormat="1" applyFont="1" applyBorder="1" applyAlignment="1">
      <alignment horizontal="center" vertical="center"/>
    </xf>
    <xf numFmtId="165" fontId="7" fillId="0" borderId="2" xfId="3" applyNumberFormat="1" applyFont="1" applyBorder="1" applyAlignment="1">
      <alignment horizontal="center" vertical="center"/>
    </xf>
    <xf numFmtId="0" fontId="1" fillId="0" borderId="2" xfId="5" applyFont="1" applyBorder="1" applyAlignment="1">
      <alignment horizontal="center" vertical="center" wrapText="1"/>
    </xf>
    <xf numFmtId="0" fontId="1" fillId="0" borderId="2" xfId="6" applyFont="1" applyBorder="1" applyAlignment="1">
      <alignment horizontal="left" vertical="center" wrapText="1"/>
    </xf>
    <xf numFmtId="0" fontId="1" fillId="0" borderId="2" xfId="3" applyFont="1" applyBorder="1" applyAlignment="1">
      <alignment horizontal="center" vertical="center"/>
    </xf>
    <xf numFmtId="166" fontId="1" fillId="0" borderId="2" xfId="3" applyNumberFormat="1" applyFont="1" applyBorder="1" applyAlignment="1">
      <alignment horizontal="left" vertical="center" wrapText="1"/>
    </xf>
    <xf numFmtId="167" fontId="7" fillId="0" borderId="2" xfId="3" applyNumberFormat="1" applyFont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2" fontId="6" fillId="2" borderId="2" xfId="3" applyNumberFormat="1" applyFont="1" applyFill="1" applyBorder="1" applyAlignment="1">
      <alignment horizontal="left" vertical="center" wrapText="1"/>
    </xf>
    <xf numFmtId="0" fontId="6" fillId="2" borderId="2" xfId="3" applyFont="1" applyFill="1" applyBorder="1" applyAlignment="1">
      <alignment horizontal="center" vertical="center" wrapText="1"/>
    </xf>
    <xf numFmtId="165" fontId="6" fillId="2" borderId="2" xfId="3" applyNumberFormat="1" applyFont="1" applyFill="1" applyBorder="1" applyAlignment="1">
      <alignment horizontal="center" vertical="center"/>
    </xf>
    <xf numFmtId="165" fontId="6" fillId="2" borderId="2" xfId="1" applyNumberFormat="1" applyFont="1" applyFill="1" applyBorder="1" applyAlignment="1">
      <alignment horizontal="center" vertical="center"/>
    </xf>
    <xf numFmtId="2" fontId="6" fillId="2" borderId="2" xfId="3" applyNumberFormat="1" applyFont="1" applyFill="1" applyBorder="1" applyAlignment="1">
      <alignment horizontal="center" vertical="center"/>
    </xf>
    <xf numFmtId="164" fontId="6" fillId="2" borderId="2" xfId="7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1" fontId="6" fillId="2" borderId="2" xfId="1" applyNumberFormat="1" applyFont="1" applyFill="1" applyBorder="1" applyAlignment="1">
      <alignment horizontal="left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1" fontId="5" fillId="2" borderId="2" xfId="1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2" fontId="13" fillId="0" borderId="2" xfId="3" applyNumberFormat="1" applyFont="1" applyBorder="1" applyAlignment="1">
      <alignment horizontal="left" vertical="top" wrapText="1"/>
    </xf>
    <xf numFmtId="0" fontId="13" fillId="0" borderId="2" xfId="4" applyFont="1" applyBorder="1" applyAlignment="1">
      <alignment vertical="top" wrapText="1"/>
    </xf>
    <xf numFmtId="9" fontId="6" fillId="2" borderId="2" xfId="3" applyNumberFormat="1" applyFont="1" applyFill="1" applyBorder="1" applyAlignment="1">
      <alignment horizontal="center" vertical="center" wrapText="1"/>
    </xf>
    <xf numFmtId="164" fontId="15" fillId="0" borderId="2" xfId="1" applyNumberFormat="1" applyFont="1" applyBorder="1" applyAlignment="1">
      <alignment horizontal="center" vertical="center"/>
    </xf>
    <xf numFmtId="0" fontId="3" fillId="4" borderId="2" xfId="3" applyFont="1" applyFill="1" applyBorder="1" applyAlignment="1">
      <alignment horizontal="left" vertical="center"/>
    </xf>
    <xf numFmtId="0" fontId="6" fillId="3" borderId="2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2" fontId="11" fillId="2" borderId="2" xfId="1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0" fontId="3" fillId="2" borderId="3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2" fontId="3" fillId="2" borderId="3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3" fillId="2" borderId="4" xfId="1" applyNumberFormat="1" applyFont="1" applyFill="1" applyBorder="1" applyAlignment="1">
      <alignment horizontal="center" vertical="center" wrapText="1"/>
    </xf>
    <xf numFmtId="2" fontId="11" fillId="2" borderId="3" xfId="1" applyNumberFormat="1" applyFont="1" applyFill="1" applyBorder="1" applyAlignment="1">
      <alignment horizontal="center" vertical="center" wrapText="1"/>
    </xf>
    <xf numFmtId="2" fontId="11" fillId="2" borderId="1" xfId="1" applyNumberFormat="1" applyFont="1" applyFill="1" applyBorder="1" applyAlignment="1">
      <alignment horizontal="center" vertical="center" wrapText="1"/>
    </xf>
    <xf numFmtId="2" fontId="11" fillId="2" borderId="4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2" fontId="10" fillId="2" borderId="4" xfId="1" applyNumberFormat="1" applyFont="1" applyFill="1" applyBorder="1" applyAlignment="1">
      <alignment horizontal="center" vertical="center" wrapText="1"/>
    </xf>
  </cellXfs>
  <cellStyles count="8">
    <cellStyle name="Normal 2 2 2 2" xfId="4" xr:uid="{D800CC06-F219-473F-ABEB-040B9036378F}"/>
    <cellStyle name="Normal 4 2" xfId="6" xr:uid="{4BF43308-143C-4CD2-9AC5-7591C7024AE7}"/>
    <cellStyle name="Normal_1" xfId="2" xr:uid="{8B330B83-2454-4128-BABE-BF2DA2727BAF}"/>
    <cellStyle name="Normal_B 1-2.1" xfId="3" xr:uid="{F800118C-F0D7-4890-8B4C-E74575353921}"/>
    <cellStyle name="Normal_B 1-2.1 2 2 2" xfId="5" xr:uid="{7AD65709-B7B9-4DFA-82E7-261CBB79C863}"/>
    <cellStyle name="Обычный" xfId="0" builtinId="0"/>
    <cellStyle name="Обычный_SHANS SEB pajmanagir 2" xfId="7" xr:uid="{9D24BE9E-2ACE-4F62-9374-B992B0D3257B}"/>
    <cellStyle name="Обычный_Tallin(exp.)" xfId="1" xr:uid="{026F762D-AA3E-438F-891E-43825D6C05A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1"/>
  <sheetViews>
    <sheetView tabSelected="1" topLeftCell="A52" zoomScaleNormal="100" workbookViewId="0">
      <selection activeCell="B221" sqref="B221"/>
    </sheetView>
  </sheetViews>
  <sheetFormatPr defaultRowHeight="14.4"/>
  <cols>
    <col min="1" max="1" width="4.88671875" style="1" customWidth="1"/>
    <col min="2" max="2" width="61.109375" style="2" customWidth="1"/>
    <col min="3" max="3" width="10.33203125" style="1" customWidth="1"/>
    <col min="4" max="5" width="11.88671875" style="1" customWidth="1"/>
    <col min="6" max="6" width="17.5546875" style="1" customWidth="1"/>
  </cols>
  <sheetData>
    <row r="1" spans="1:6">
      <c r="A1" s="45" t="s">
        <v>0</v>
      </c>
      <c r="B1" s="45"/>
      <c r="C1" s="45"/>
      <c r="D1" s="45"/>
      <c r="E1" s="45"/>
      <c r="F1" s="45"/>
    </row>
    <row r="2" spans="1:6" ht="49.5" customHeight="1">
      <c r="A2" s="46" t="s">
        <v>1</v>
      </c>
      <c r="B2" s="46"/>
      <c r="C2" s="46"/>
      <c r="D2" s="46"/>
      <c r="E2" s="46"/>
      <c r="F2" s="46"/>
    </row>
    <row r="3" spans="1:6">
      <c r="A3" s="47" t="s">
        <v>2</v>
      </c>
      <c r="B3" s="48" t="s">
        <v>3</v>
      </c>
      <c r="C3" s="47" t="s">
        <v>4</v>
      </c>
      <c r="D3" s="47" t="s">
        <v>5</v>
      </c>
      <c r="E3" s="49" t="s">
        <v>6</v>
      </c>
      <c r="F3" s="50" t="s">
        <v>7</v>
      </c>
    </row>
    <row r="4" spans="1:6">
      <c r="A4" s="47"/>
      <c r="B4" s="48"/>
      <c r="C4" s="47"/>
      <c r="D4" s="47"/>
      <c r="E4" s="49"/>
      <c r="F4" s="50"/>
    </row>
    <row r="5" spans="1:6">
      <c r="A5" s="47"/>
      <c r="B5" s="48"/>
      <c r="C5" s="47"/>
      <c r="D5" s="47"/>
      <c r="E5" s="49"/>
      <c r="F5" s="50"/>
    </row>
    <row r="6" spans="1:6">
      <c r="A6" s="3">
        <v>1</v>
      </c>
      <c r="B6" s="35">
        <v>2</v>
      </c>
      <c r="C6" s="3">
        <v>3</v>
      </c>
      <c r="D6" s="3">
        <v>4</v>
      </c>
      <c r="E6" s="3">
        <v>5</v>
      </c>
      <c r="F6" s="3">
        <v>6</v>
      </c>
    </row>
    <row r="7" spans="1:6" ht="15">
      <c r="A7" s="42" t="s">
        <v>8</v>
      </c>
      <c r="B7" s="42"/>
      <c r="C7" s="42"/>
      <c r="D7" s="42"/>
      <c r="E7" s="42"/>
      <c r="F7" s="42"/>
    </row>
    <row r="8" spans="1:6" ht="27.6">
      <c r="A8" s="4">
        <v>1</v>
      </c>
      <c r="B8" s="5" t="s">
        <v>9</v>
      </c>
      <c r="C8" s="6" t="s">
        <v>10</v>
      </c>
      <c r="D8" s="7">
        <v>150</v>
      </c>
      <c r="E8" s="8">
        <v>1.8386889570000002E-2</v>
      </c>
      <c r="F8" s="9">
        <v>2.7580334355000002</v>
      </c>
    </row>
    <row r="9" spans="1:6">
      <c r="A9" s="4">
        <v>2</v>
      </c>
      <c r="B9" s="5" t="s">
        <v>11</v>
      </c>
      <c r="C9" s="6" t="s">
        <v>12</v>
      </c>
      <c r="D9" s="7">
        <f>D22*0.8*0.8</f>
        <v>197.12</v>
      </c>
      <c r="E9" s="8">
        <v>0.67247248114199998</v>
      </c>
      <c r="F9" s="9">
        <v>132.55777548271104</v>
      </c>
    </row>
    <row r="10" spans="1:6">
      <c r="A10" s="4">
        <v>3</v>
      </c>
      <c r="B10" s="5" t="s">
        <v>13</v>
      </c>
      <c r="C10" s="6" t="s">
        <v>12</v>
      </c>
      <c r="D10" s="7">
        <f>D22*0.8*0.6</f>
        <v>147.84</v>
      </c>
      <c r="E10" s="8">
        <v>0.85893175310460013</v>
      </c>
      <c r="F10" s="9">
        <v>126.98447037898408</v>
      </c>
    </row>
    <row r="11" spans="1:6">
      <c r="A11" s="4">
        <v>4</v>
      </c>
      <c r="B11" s="5" t="s">
        <v>14</v>
      </c>
      <c r="C11" s="6" t="s">
        <v>12</v>
      </c>
      <c r="D11" s="10">
        <f>D22*0.6*0.1</f>
        <v>18.48</v>
      </c>
      <c r="E11" s="8">
        <v>3.7470791820000007</v>
      </c>
      <c r="F11" s="9">
        <v>69.246023283360017</v>
      </c>
    </row>
    <row r="12" spans="1:6" ht="27.6">
      <c r="A12" s="4">
        <v>5</v>
      </c>
      <c r="B12" s="5" t="s">
        <v>15</v>
      </c>
      <c r="C12" s="6" t="s">
        <v>16</v>
      </c>
      <c r="D12" s="10">
        <f>((D11+D9+D10)-(D14+D15))*1.8</f>
        <v>481.2192</v>
      </c>
      <c r="E12" s="8">
        <v>0.6084083856732001</v>
      </c>
      <c r="F12" s="9">
        <v>292.77779662694883</v>
      </c>
    </row>
    <row r="13" spans="1:6">
      <c r="A13" s="4">
        <v>6</v>
      </c>
      <c r="B13" s="5" t="s">
        <v>17</v>
      </c>
      <c r="C13" s="6" t="s">
        <v>18</v>
      </c>
      <c r="D13" s="10">
        <f>D12*1.8</f>
        <v>866.19456000000002</v>
      </c>
      <c r="E13" s="8">
        <v>0.3906</v>
      </c>
      <c r="F13" s="9">
        <v>338.33559513599999</v>
      </c>
    </row>
    <row r="14" spans="1:6" ht="27.6">
      <c r="A14" s="4">
        <v>7</v>
      </c>
      <c r="B14" s="5" t="s">
        <v>19</v>
      </c>
      <c r="C14" s="11" t="s">
        <v>20</v>
      </c>
      <c r="D14" s="12">
        <f>D22*0.6*0.1</f>
        <v>18.48</v>
      </c>
      <c r="E14" s="8">
        <v>9.7072004441999997</v>
      </c>
      <c r="F14" s="9">
        <v>179.389064208816</v>
      </c>
    </row>
    <row r="15" spans="1:6" ht="27.6">
      <c r="A15" s="4">
        <v>8</v>
      </c>
      <c r="B15" s="5" t="s">
        <v>21</v>
      </c>
      <c r="C15" s="11" t="s">
        <v>20</v>
      </c>
      <c r="D15" s="12">
        <f>D22*0.6*0.42</f>
        <v>77.615999999999985</v>
      </c>
      <c r="E15" s="8">
        <v>9.7072004441999997</v>
      </c>
      <c r="F15" s="9">
        <v>753.43406967702708</v>
      </c>
    </row>
    <row r="16" spans="1:6">
      <c r="A16" s="4">
        <v>9</v>
      </c>
      <c r="B16" s="5" t="s">
        <v>22</v>
      </c>
      <c r="C16" s="6" t="s">
        <v>12</v>
      </c>
      <c r="D16" s="7">
        <f>D9+D10+D11</f>
        <v>363.44000000000005</v>
      </c>
      <c r="E16" s="8">
        <v>0.35379955199399998</v>
      </c>
      <c r="F16" s="9">
        <v>128.58490917669937</v>
      </c>
    </row>
    <row r="17" spans="1:6" ht="27.6">
      <c r="A17" s="4">
        <v>10</v>
      </c>
      <c r="B17" s="5" t="s">
        <v>23</v>
      </c>
      <c r="C17" s="6" t="s">
        <v>12</v>
      </c>
      <c r="D17" s="7">
        <f>D9+D10+D11-D14-D15</f>
        <v>267.34400000000005</v>
      </c>
      <c r="E17" s="8">
        <v>0.42407832990600003</v>
      </c>
      <c r="F17" s="9">
        <v>113.37479703038969</v>
      </c>
    </row>
    <row r="18" spans="1:6">
      <c r="A18" s="4">
        <v>11</v>
      </c>
      <c r="B18" s="13" t="s">
        <v>24</v>
      </c>
      <c r="C18" s="11" t="s">
        <v>25</v>
      </c>
      <c r="D18" s="14">
        <v>30</v>
      </c>
      <c r="E18" s="8">
        <v>0.69544420590959999</v>
      </c>
      <c r="F18" s="9">
        <v>20.863326177287998</v>
      </c>
    </row>
    <row r="19" spans="1:6" ht="27.6">
      <c r="A19" s="4">
        <v>12</v>
      </c>
      <c r="B19" s="13" t="s">
        <v>26</v>
      </c>
      <c r="C19" s="11" t="s">
        <v>27</v>
      </c>
      <c r="D19" s="12">
        <v>15</v>
      </c>
      <c r="E19" s="8">
        <v>5.7435695971331988</v>
      </c>
      <c r="F19" s="9">
        <v>86.153543956997979</v>
      </c>
    </row>
    <row r="20" spans="1:6" ht="15.6">
      <c r="A20" s="4">
        <v>13</v>
      </c>
      <c r="B20" s="13" t="s">
        <v>28</v>
      </c>
      <c r="C20" s="11" t="s">
        <v>27</v>
      </c>
      <c r="D20" s="12">
        <v>15</v>
      </c>
      <c r="E20" s="8">
        <v>4.0653740936759997</v>
      </c>
      <c r="F20" s="9">
        <v>60.980611405139996</v>
      </c>
    </row>
    <row r="21" spans="1:6">
      <c r="A21" s="4">
        <v>14</v>
      </c>
      <c r="B21" s="5" t="s">
        <v>29</v>
      </c>
      <c r="C21" s="6" t="s">
        <v>30</v>
      </c>
      <c r="D21" s="15">
        <v>150</v>
      </c>
      <c r="E21" s="8">
        <v>1.7573702544384</v>
      </c>
      <c r="F21" s="9">
        <v>263.60553816575998</v>
      </c>
    </row>
    <row r="22" spans="1:6" ht="27.6">
      <c r="A22" s="4">
        <v>15</v>
      </c>
      <c r="B22" s="13" t="s">
        <v>31</v>
      </c>
      <c r="C22" s="11" t="s">
        <v>32</v>
      </c>
      <c r="D22" s="14">
        <v>308</v>
      </c>
      <c r="E22" s="8">
        <v>11.393792573520001</v>
      </c>
      <c r="F22" s="9">
        <v>3509.2881126441603</v>
      </c>
    </row>
    <row r="23" spans="1:6" ht="27.6">
      <c r="A23" s="4">
        <v>16</v>
      </c>
      <c r="B23" s="5" t="s">
        <v>33</v>
      </c>
      <c r="C23" s="6" t="s">
        <v>34</v>
      </c>
      <c r="D23" s="10">
        <v>0.1</v>
      </c>
      <c r="E23" s="8">
        <v>1060.8741874668001</v>
      </c>
      <c r="F23" s="9">
        <v>106.08741874668002</v>
      </c>
    </row>
    <row r="24" spans="1:6" ht="27.6">
      <c r="A24" s="4">
        <v>17</v>
      </c>
      <c r="B24" s="13" t="s">
        <v>35</v>
      </c>
      <c r="C24" s="11" t="s">
        <v>36</v>
      </c>
      <c r="D24" s="16">
        <f>4+3</f>
        <v>7</v>
      </c>
      <c r="E24" s="8">
        <v>16.575397882680001</v>
      </c>
      <c r="F24" s="9">
        <v>116.02778517876001</v>
      </c>
    </row>
    <row r="25" spans="1:6">
      <c r="A25" s="4">
        <v>18</v>
      </c>
      <c r="B25" s="5" t="s">
        <v>37</v>
      </c>
      <c r="C25" s="6" t="s">
        <v>36</v>
      </c>
      <c r="D25" s="15">
        <v>1</v>
      </c>
      <c r="E25" s="8">
        <v>66.367893198600015</v>
      </c>
      <c r="F25" s="9">
        <v>66.367893198600015</v>
      </c>
    </row>
    <row r="26" spans="1:6">
      <c r="A26" s="4">
        <v>19</v>
      </c>
      <c r="B26" s="5" t="s">
        <v>38</v>
      </c>
      <c r="C26" s="6" t="s">
        <v>39</v>
      </c>
      <c r="D26" s="7">
        <v>20</v>
      </c>
      <c r="E26" s="8">
        <v>11.557654143000002</v>
      </c>
      <c r="F26" s="9">
        <v>231.15308286000004</v>
      </c>
    </row>
    <row r="27" spans="1:6">
      <c r="A27" s="4">
        <v>20</v>
      </c>
      <c r="B27" s="5" t="s">
        <v>40</v>
      </c>
      <c r="C27" s="6" t="s">
        <v>39</v>
      </c>
      <c r="D27" s="7">
        <v>20</v>
      </c>
      <c r="E27" s="8">
        <v>11.557654143000002</v>
      </c>
      <c r="F27" s="9">
        <v>231.15308286000004</v>
      </c>
    </row>
    <row r="28" spans="1:6" ht="55.2">
      <c r="A28" s="4">
        <v>21</v>
      </c>
      <c r="B28" s="5" t="s">
        <v>41</v>
      </c>
      <c r="C28" s="6" t="s">
        <v>18</v>
      </c>
      <c r="D28" s="17">
        <f>0.004*5+0.005*2+0.0045*2</f>
        <v>3.9E-2</v>
      </c>
      <c r="E28" s="8">
        <v>2281.684700012308</v>
      </c>
      <c r="F28" s="9">
        <v>88.985703300480012</v>
      </c>
    </row>
    <row r="29" spans="1:6">
      <c r="A29" s="4">
        <v>22</v>
      </c>
      <c r="B29" s="5" t="s">
        <v>42</v>
      </c>
      <c r="C29" s="6" t="s">
        <v>43</v>
      </c>
      <c r="D29" s="7">
        <v>20</v>
      </c>
      <c r="E29" s="8">
        <v>2.3711578195200005</v>
      </c>
      <c r="F29" s="9">
        <v>47.42315639040001</v>
      </c>
    </row>
    <row r="30" spans="1:6" ht="27.6">
      <c r="A30" s="4">
        <v>23</v>
      </c>
      <c r="B30" s="5" t="s">
        <v>44</v>
      </c>
      <c r="C30" s="6" t="s">
        <v>39</v>
      </c>
      <c r="D30" s="7">
        <v>2.8</v>
      </c>
      <c r="E30" s="8">
        <v>14.895390514199999</v>
      </c>
      <c r="F30" s="9">
        <v>41.707093439759994</v>
      </c>
    </row>
    <row r="31" spans="1:6" ht="27.6">
      <c r="A31" s="4">
        <v>24</v>
      </c>
      <c r="B31" s="5" t="s">
        <v>45</v>
      </c>
      <c r="C31" s="6" t="s">
        <v>39</v>
      </c>
      <c r="D31" s="7">
        <v>8</v>
      </c>
      <c r="E31" s="8">
        <v>11.079159405022644</v>
      </c>
      <c r="F31" s="9">
        <v>88.633275240181149</v>
      </c>
    </row>
    <row r="32" spans="1:6">
      <c r="A32" s="4">
        <v>25</v>
      </c>
      <c r="B32" s="5" t="s">
        <v>46</v>
      </c>
      <c r="C32" s="6" t="s">
        <v>47</v>
      </c>
      <c r="D32" s="7">
        <v>3</v>
      </c>
      <c r="E32" s="8">
        <v>12.996406054380001</v>
      </c>
      <c r="F32" s="9">
        <v>38.989218163140002</v>
      </c>
    </row>
    <row r="33" spans="1:6" ht="27.6">
      <c r="A33" s="4">
        <v>26</v>
      </c>
      <c r="B33" s="5" t="s">
        <v>48</v>
      </c>
      <c r="C33" s="6" t="s">
        <v>47</v>
      </c>
      <c r="D33" s="7">
        <v>10</v>
      </c>
      <c r="E33" s="8">
        <v>12.63228935934</v>
      </c>
      <c r="F33" s="9">
        <v>126.3228935934</v>
      </c>
    </row>
    <row r="34" spans="1:6">
      <c r="A34" s="4">
        <v>27</v>
      </c>
      <c r="B34" s="5" t="s">
        <v>49</v>
      </c>
      <c r="C34" s="6" t="s">
        <v>16</v>
      </c>
      <c r="D34" s="10">
        <v>1.5</v>
      </c>
      <c r="E34" s="8">
        <v>52.413716922000006</v>
      </c>
      <c r="F34" s="9">
        <v>78.620575383000016</v>
      </c>
    </row>
    <row r="35" spans="1:6">
      <c r="A35" s="4">
        <v>28</v>
      </c>
      <c r="B35" s="5" t="s">
        <v>50</v>
      </c>
      <c r="C35" s="6" t="s">
        <v>39</v>
      </c>
      <c r="D35" s="7">
        <v>10.4</v>
      </c>
      <c r="E35" s="8">
        <v>7.56754202652</v>
      </c>
      <c r="F35" s="9">
        <v>78.702437075808007</v>
      </c>
    </row>
    <row r="36" spans="1:6">
      <c r="A36" s="4">
        <v>29</v>
      </c>
      <c r="B36" s="5" t="s">
        <v>51</v>
      </c>
      <c r="C36" s="6" t="s">
        <v>18</v>
      </c>
      <c r="D36" s="17">
        <v>1.9E-2</v>
      </c>
      <c r="E36" s="8">
        <v>772.77154232040004</v>
      </c>
      <c r="F36" s="9">
        <v>14.682659304087601</v>
      </c>
    </row>
    <row r="37" spans="1:6">
      <c r="A37" s="4">
        <v>30</v>
      </c>
      <c r="B37" s="5" t="s">
        <v>52</v>
      </c>
      <c r="C37" s="6" t="s">
        <v>39</v>
      </c>
      <c r="D37" s="15">
        <v>330</v>
      </c>
      <c r="E37" s="8">
        <v>0.101511781476</v>
      </c>
      <c r="F37" s="9">
        <v>33.498887887080002</v>
      </c>
    </row>
    <row r="38" spans="1:6">
      <c r="A38" s="4">
        <v>31</v>
      </c>
      <c r="B38" s="5" t="s">
        <v>53</v>
      </c>
      <c r="C38" s="6" t="s">
        <v>39</v>
      </c>
      <c r="D38" s="15">
        <v>330</v>
      </c>
      <c r="E38" s="8">
        <v>0.68128712400000002</v>
      </c>
      <c r="F38" s="9">
        <v>224.82475092000001</v>
      </c>
    </row>
    <row r="39" spans="1:6" ht="27.6">
      <c r="A39" s="4">
        <v>32</v>
      </c>
      <c r="B39" s="5" t="s">
        <v>54</v>
      </c>
      <c r="C39" s="6" t="s">
        <v>55</v>
      </c>
      <c r="D39" s="7">
        <v>28</v>
      </c>
      <c r="E39" s="8">
        <v>1.3839543900000004</v>
      </c>
      <c r="F39" s="9">
        <v>38.750722920000015</v>
      </c>
    </row>
    <row r="40" spans="1:6" ht="27.6">
      <c r="A40" s="4">
        <v>33</v>
      </c>
      <c r="B40" s="13" t="s">
        <v>56</v>
      </c>
      <c r="C40" s="11" t="s">
        <v>25</v>
      </c>
      <c r="D40" s="14">
        <v>330</v>
      </c>
      <c r="E40" s="8">
        <v>0.12137223168000003</v>
      </c>
      <c r="F40" s="9">
        <v>40.052836454400008</v>
      </c>
    </row>
    <row r="41" spans="1:6">
      <c r="A41" s="4">
        <v>34</v>
      </c>
      <c r="B41" s="5" t="s">
        <v>57</v>
      </c>
      <c r="C41" s="18" t="s">
        <v>47</v>
      </c>
      <c r="D41" s="16">
        <v>1</v>
      </c>
      <c r="E41" s="8">
        <v>23.2783319664</v>
      </c>
      <c r="F41" s="9">
        <v>23.2783319664</v>
      </c>
    </row>
    <row r="42" spans="1:6" ht="15.6">
      <c r="A42" s="4">
        <v>35</v>
      </c>
      <c r="B42" s="19" t="s">
        <v>58</v>
      </c>
      <c r="C42" s="11" t="s">
        <v>20</v>
      </c>
      <c r="D42" s="12">
        <v>0.8</v>
      </c>
      <c r="E42" s="8">
        <v>10.678178297639999</v>
      </c>
      <c r="F42" s="9">
        <v>8.5425426381119998</v>
      </c>
    </row>
    <row r="43" spans="1:6">
      <c r="A43" s="4">
        <v>36</v>
      </c>
      <c r="B43" s="5" t="s">
        <v>59</v>
      </c>
      <c r="C43" s="6" t="s">
        <v>12</v>
      </c>
      <c r="D43" s="10">
        <v>0.8</v>
      </c>
      <c r="E43" s="8">
        <v>43.763472864720008</v>
      </c>
      <c r="F43" s="9">
        <v>35.010778291776006</v>
      </c>
    </row>
    <row r="44" spans="1:6">
      <c r="A44" s="4">
        <v>37</v>
      </c>
      <c r="B44" s="5" t="s">
        <v>60</v>
      </c>
      <c r="C44" s="6" t="s">
        <v>61</v>
      </c>
      <c r="D44" s="15">
        <v>1</v>
      </c>
      <c r="E44" s="8">
        <v>3931.6213094802006</v>
      </c>
      <c r="F44" s="9">
        <v>3931.6213094802006</v>
      </c>
    </row>
    <row r="45" spans="1:6">
      <c r="A45" s="4">
        <v>38</v>
      </c>
      <c r="B45" s="5" t="s">
        <v>62</v>
      </c>
      <c r="C45" s="6" t="s">
        <v>12</v>
      </c>
      <c r="D45" s="10">
        <v>0.04</v>
      </c>
      <c r="E45" s="8">
        <v>52.413716922000006</v>
      </c>
      <c r="F45" s="9">
        <v>2.0965486768800004</v>
      </c>
    </row>
    <row r="46" spans="1:6" ht="27.6">
      <c r="A46" s="4">
        <v>39</v>
      </c>
      <c r="B46" s="5" t="s">
        <v>63</v>
      </c>
      <c r="C46" s="20" t="s">
        <v>64</v>
      </c>
      <c r="D46" s="15">
        <v>4</v>
      </c>
      <c r="E46" s="8">
        <v>16.514499879359999</v>
      </c>
      <c r="F46" s="9">
        <v>66.057999517439995</v>
      </c>
    </row>
    <row r="47" spans="1:6">
      <c r="A47" s="4">
        <v>40</v>
      </c>
      <c r="B47" s="5" t="s">
        <v>65</v>
      </c>
      <c r="C47" s="6" t="s">
        <v>66</v>
      </c>
      <c r="D47" s="10">
        <f>0.05+0.05+0.03</f>
        <v>0.13</v>
      </c>
      <c r="E47" s="8">
        <v>134.73352988239202</v>
      </c>
      <c r="F47" s="9">
        <v>17.515358884710963</v>
      </c>
    </row>
    <row r="48" spans="1:6">
      <c r="A48" s="4">
        <v>41</v>
      </c>
      <c r="B48" s="21" t="s">
        <v>67</v>
      </c>
      <c r="C48" s="6" t="s">
        <v>47</v>
      </c>
      <c r="D48" s="15">
        <v>1</v>
      </c>
      <c r="E48" s="8">
        <v>13.02</v>
      </c>
      <c r="F48" s="9">
        <v>13.02</v>
      </c>
    </row>
    <row r="49" spans="1:6">
      <c r="A49" s="4">
        <v>42</v>
      </c>
      <c r="B49" s="5" t="s">
        <v>68</v>
      </c>
      <c r="C49" s="6" t="s">
        <v>69</v>
      </c>
      <c r="D49" s="10">
        <v>3.5</v>
      </c>
      <c r="E49" s="8">
        <v>73.351735291207802</v>
      </c>
      <c r="F49" s="9">
        <v>256.73107351922732</v>
      </c>
    </row>
    <row r="50" spans="1:6" ht="27.6">
      <c r="A50" s="4">
        <v>43</v>
      </c>
      <c r="B50" s="5" t="s">
        <v>9</v>
      </c>
      <c r="C50" s="6" t="s">
        <v>10</v>
      </c>
      <c r="D50" s="7">
        <v>20000</v>
      </c>
      <c r="E50" s="8">
        <v>1.8386889570000002E-2</v>
      </c>
      <c r="F50" s="9">
        <v>367.73779140000005</v>
      </c>
    </row>
    <row r="51" spans="1:6">
      <c r="A51" s="4">
        <v>44</v>
      </c>
      <c r="B51" s="5" t="s">
        <v>11</v>
      </c>
      <c r="C51" s="6" t="s">
        <v>12</v>
      </c>
      <c r="D51" s="7">
        <f>(D64+D65)*0.8*0.8</f>
        <v>4336</v>
      </c>
      <c r="E51" s="8">
        <v>0.67247248114199998</v>
      </c>
      <c r="F51" s="9">
        <v>2915.840678231712</v>
      </c>
    </row>
    <row r="52" spans="1:6">
      <c r="A52" s="4">
        <v>45</v>
      </c>
      <c r="B52" s="5" t="s">
        <v>13</v>
      </c>
      <c r="C52" s="6" t="s">
        <v>12</v>
      </c>
      <c r="D52" s="7">
        <f>(D64+D984)*0.8*0.7</f>
        <v>1554</v>
      </c>
      <c r="E52" s="8">
        <v>0.85893175310460013</v>
      </c>
      <c r="F52" s="9">
        <v>1334.7799443245485</v>
      </c>
    </row>
    <row r="53" spans="1:6">
      <c r="A53" s="4">
        <v>46</v>
      </c>
      <c r="B53" s="5" t="s">
        <v>14</v>
      </c>
      <c r="C53" s="6" t="s">
        <v>12</v>
      </c>
      <c r="D53" s="10">
        <f>(D64+D65)*0.6*0.1</f>
        <v>406.5</v>
      </c>
      <c r="E53" s="8">
        <v>3.7470791820000007</v>
      </c>
      <c r="F53" s="9">
        <v>1523.1876874830002</v>
      </c>
    </row>
    <row r="54" spans="1:6" ht="27.6">
      <c r="A54" s="4">
        <v>47</v>
      </c>
      <c r="B54" s="5" t="s">
        <v>15</v>
      </c>
      <c r="C54" s="6" t="s">
        <v>16</v>
      </c>
      <c r="D54" s="10">
        <v>250</v>
      </c>
      <c r="E54" s="8">
        <v>0.6084083856732001</v>
      </c>
      <c r="F54" s="9">
        <v>152.10209641830002</v>
      </c>
    </row>
    <row r="55" spans="1:6">
      <c r="A55" s="4">
        <v>48</v>
      </c>
      <c r="B55" s="5" t="s">
        <v>17</v>
      </c>
      <c r="C55" s="6" t="s">
        <v>18</v>
      </c>
      <c r="D55" s="10">
        <v>300</v>
      </c>
      <c r="E55" s="8">
        <v>0.3906</v>
      </c>
      <c r="F55" s="9">
        <v>117.18</v>
      </c>
    </row>
    <row r="56" spans="1:6" ht="27.6">
      <c r="A56" s="4">
        <v>49</v>
      </c>
      <c r="B56" s="5" t="s">
        <v>19</v>
      </c>
      <c r="C56" s="11" t="s">
        <v>20</v>
      </c>
      <c r="D56" s="12">
        <f>(D64+D65)*0.6*0.1</f>
        <v>406.5</v>
      </c>
      <c r="E56" s="8">
        <v>9.7072004441999997</v>
      </c>
      <c r="F56" s="9">
        <v>3945.9769805673</v>
      </c>
    </row>
    <row r="57" spans="1:6" ht="27.6">
      <c r="A57" s="4">
        <v>50</v>
      </c>
      <c r="B57" s="5" t="s">
        <v>21</v>
      </c>
      <c r="C57" s="11" t="s">
        <v>20</v>
      </c>
      <c r="D57" s="14">
        <f>(D56/0.1)*0.4</f>
        <v>1626</v>
      </c>
      <c r="E57" s="8">
        <v>9.7072004441999997</v>
      </c>
      <c r="F57" s="9">
        <v>15783.9079222692</v>
      </c>
    </row>
    <row r="58" spans="1:6">
      <c r="A58" s="4">
        <v>51</v>
      </c>
      <c r="B58" s="5" t="s">
        <v>22</v>
      </c>
      <c r="C58" s="6" t="s">
        <v>12</v>
      </c>
      <c r="D58" s="7">
        <f>D51+D52+D53</f>
        <v>6296.5</v>
      </c>
      <c r="E58" s="8">
        <v>0.35379955199399998</v>
      </c>
      <c r="F58" s="40">
        <v>2227.698879130221</v>
      </c>
    </row>
    <row r="59" spans="1:6" ht="27.6">
      <c r="A59" s="4">
        <v>52</v>
      </c>
      <c r="B59" s="5" t="s">
        <v>23</v>
      </c>
      <c r="C59" s="6" t="s">
        <v>12</v>
      </c>
      <c r="D59" s="7">
        <f>D58-D56-D57</f>
        <v>4264</v>
      </c>
      <c r="E59" s="8">
        <v>0.42407832990600003</v>
      </c>
      <c r="F59" s="9">
        <v>1808.2699987191841</v>
      </c>
    </row>
    <row r="60" spans="1:6">
      <c r="A60" s="4">
        <v>53</v>
      </c>
      <c r="B60" s="13" t="s">
        <v>24</v>
      </c>
      <c r="C60" s="11" t="s">
        <v>25</v>
      </c>
      <c r="D60" s="14">
        <v>100</v>
      </c>
      <c r="E60" s="8">
        <v>0.69544420590959999</v>
      </c>
      <c r="F60" s="9">
        <v>69.544420590960002</v>
      </c>
    </row>
    <row r="61" spans="1:6" ht="27.6">
      <c r="A61" s="4">
        <v>54</v>
      </c>
      <c r="B61" s="13" t="s">
        <v>26</v>
      </c>
      <c r="C61" s="11" t="s">
        <v>27</v>
      </c>
      <c r="D61" s="12">
        <v>50</v>
      </c>
      <c r="E61" s="8">
        <v>5.7435695971331988</v>
      </c>
      <c r="F61" s="9">
        <v>287.17847985665992</v>
      </c>
    </row>
    <row r="62" spans="1:6" ht="15.6">
      <c r="A62" s="4">
        <v>55</v>
      </c>
      <c r="B62" s="13" t="s">
        <v>28</v>
      </c>
      <c r="C62" s="11" t="s">
        <v>27</v>
      </c>
      <c r="D62" s="12">
        <v>50</v>
      </c>
      <c r="E62" s="8">
        <v>4.0653740936759997</v>
      </c>
      <c r="F62" s="9">
        <v>203.2687046838</v>
      </c>
    </row>
    <row r="63" spans="1:6">
      <c r="A63" s="4">
        <v>56</v>
      </c>
      <c r="B63" s="5" t="s">
        <v>29</v>
      </c>
      <c r="C63" s="6" t="s">
        <v>30</v>
      </c>
      <c r="D63" s="15">
        <v>300</v>
      </c>
      <c r="E63" s="8">
        <v>1.7573702544384</v>
      </c>
      <c r="F63" s="9">
        <v>527.21107633151996</v>
      </c>
    </row>
    <row r="64" spans="1:6" ht="27.6">
      <c r="A64" s="4">
        <v>57</v>
      </c>
      <c r="B64" s="13" t="s">
        <v>70</v>
      </c>
      <c r="C64" s="11" t="s">
        <v>32</v>
      </c>
      <c r="D64" s="14">
        <v>2775</v>
      </c>
      <c r="E64" s="8">
        <v>11.393792573520001</v>
      </c>
      <c r="F64" s="9">
        <v>31617.774391518004</v>
      </c>
    </row>
    <row r="65" spans="1:6" ht="27.6">
      <c r="A65" s="4">
        <v>58</v>
      </c>
      <c r="B65" s="13" t="s">
        <v>71</v>
      </c>
      <c r="C65" s="11" t="s">
        <v>32</v>
      </c>
      <c r="D65" s="14">
        <v>4000</v>
      </c>
      <c r="E65" s="8">
        <v>13.836408736079999</v>
      </c>
      <c r="F65" s="9">
        <v>55345.634944319994</v>
      </c>
    </row>
    <row r="66" spans="1:6">
      <c r="A66" s="4">
        <v>59</v>
      </c>
      <c r="B66" s="13" t="s">
        <v>72</v>
      </c>
      <c r="C66" s="11" t="s">
        <v>32</v>
      </c>
      <c r="D66" s="14">
        <v>40</v>
      </c>
      <c r="E66" s="8">
        <v>3.2011669351200003</v>
      </c>
      <c r="F66" s="9">
        <v>128.04667740480002</v>
      </c>
    </row>
    <row r="67" spans="1:6" ht="69">
      <c r="A67" s="4">
        <v>60</v>
      </c>
      <c r="B67" s="5" t="s">
        <v>73</v>
      </c>
      <c r="C67" s="6" t="s">
        <v>34</v>
      </c>
      <c r="D67" s="10">
        <v>4.9000000000000004</v>
      </c>
      <c r="E67" s="8">
        <v>119.84307445560002</v>
      </c>
      <c r="F67" s="9">
        <v>587.2310648324401</v>
      </c>
    </row>
    <row r="68" spans="1:6" ht="27.6">
      <c r="A68" s="4">
        <v>61</v>
      </c>
      <c r="B68" s="5" t="s">
        <v>74</v>
      </c>
      <c r="C68" s="6" t="s">
        <v>34</v>
      </c>
      <c r="D68" s="10">
        <v>5</v>
      </c>
      <c r="E68" s="8">
        <v>94.145430211238789</v>
      </c>
      <c r="F68" s="9">
        <v>470.72715105619397</v>
      </c>
    </row>
    <row r="69" spans="1:6" ht="41.4">
      <c r="A69" s="4">
        <v>62</v>
      </c>
      <c r="B69" s="13" t="s">
        <v>75</v>
      </c>
      <c r="C69" s="11" t="s">
        <v>36</v>
      </c>
      <c r="D69" s="16">
        <v>12</v>
      </c>
      <c r="E69" s="8">
        <v>36.298385530680008</v>
      </c>
      <c r="F69" s="9">
        <v>435.5806263681601</v>
      </c>
    </row>
    <row r="70" spans="1:6">
      <c r="A70" s="4">
        <v>63</v>
      </c>
      <c r="B70" s="5" t="s">
        <v>76</v>
      </c>
      <c r="C70" s="6" t="s">
        <v>39</v>
      </c>
      <c r="D70" s="7">
        <v>30</v>
      </c>
      <c r="E70" s="8">
        <v>11.557654143000002</v>
      </c>
      <c r="F70" s="9">
        <v>346.72962429000006</v>
      </c>
    </row>
    <row r="71" spans="1:6" ht="41.4">
      <c r="A71" s="4">
        <v>64</v>
      </c>
      <c r="B71" s="5" t="s">
        <v>77</v>
      </c>
      <c r="C71" s="6" t="s">
        <v>18</v>
      </c>
      <c r="D71" s="17">
        <f>0.006*1+0.005*6</f>
        <v>3.5999999999999997E-2</v>
      </c>
      <c r="E71" s="8">
        <v>1615.5313910400002</v>
      </c>
      <c r="F71" s="9">
        <v>58.159130077440004</v>
      </c>
    </row>
    <row r="72" spans="1:6">
      <c r="A72" s="4">
        <v>65</v>
      </c>
      <c r="B72" s="5" t="s">
        <v>42</v>
      </c>
      <c r="C72" s="6" t="s">
        <v>43</v>
      </c>
      <c r="D72" s="7">
        <v>1.5</v>
      </c>
      <c r="E72" s="8">
        <v>2.3711578195200005</v>
      </c>
      <c r="F72" s="9">
        <v>3.5567367292800007</v>
      </c>
    </row>
    <row r="73" spans="1:6" ht="27.6">
      <c r="A73" s="4">
        <v>66</v>
      </c>
      <c r="B73" s="5" t="s">
        <v>78</v>
      </c>
      <c r="C73" s="6" t="s">
        <v>39</v>
      </c>
      <c r="D73" s="7">
        <f>105+3.4</f>
        <v>108.4</v>
      </c>
      <c r="E73" s="8">
        <v>15.0724203294</v>
      </c>
      <c r="F73" s="9">
        <v>1633.85036370696</v>
      </c>
    </row>
    <row r="74" spans="1:6" ht="27.6">
      <c r="A74" s="4">
        <v>67</v>
      </c>
      <c r="B74" s="5" t="s">
        <v>78</v>
      </c>
      <c r="C74" s="6" t="s">
        <v>39</v>
      </c>
      <c r="D74" s="7">
        <v>123</v>
      </c>
      <c r="E74" s="8">
        <v>15.590006342399999</v>
      </c>
      <c r="F74" s="9">
        <v>1917.5707801151998</v>
      </c>
    </row>
    <row r="75" spans="1:6" ht="27.6">
      <c r="A75" s="4">
        <v>68</v>
      </c>
      <c r="B75" s="5" t="s">
        <v>79</v>
      </c>
      <c r="C75" s="6" t="s">
        <v>47</v>
      </c>
      <c r="D75" s="7">
        <v>70</v>
      </c>
      <c r="E75" s="8">
        <v>12.63228935934</v>
      </c>
      <c r="F75" s="9">
        <v>884.26025515380002</v>
      </c>
    </row>
    <row r="76" spans="1:6" ht="27.6">
      <c r="A76" s="4">
        <v>69</v>
      </c>
      <c r="B76" s="5" t="s">
        <v>80</v>
      </c>
      <c r="C76" s="6" t="s">
        <v>16</v>
      </c>
      <c r="D76" s="10">
        <v>2.2999999999999998</v>
      </c>
      <c r="E76" s="8">
        <v>6.9831930209999999</v>
      </c>
      <c r="F76" s="9">
        <v>16.061343948299999</v>
      </c>
    </row>
    <row r="77" spans="1:6">
      <c r="A77" s="4">
        <v>70</v>
      </c>
      <c r="B77" s="5" t="s">
        <v>81</v>
      </c>
      <c r="C77" s="6" t="s">
        <v>82</v>
      </c>
      <c r="D77" s="10">
        <f>+D76*1.5</f>
        <v>3.4499999999999997</v>
      </c>
      <c r="E77" s="8">
        <v>1.2263168231999999</v>
      </c>
      <c r="F77" s="9">
        <v>4.2307930400399991</v>
      </c>
    </row>
    <row r="78" spans="1:6">
      <c r="A78" s="4">
        <v>71</v>
      </c>
      <c r="B78" s="5" t="s">
        <v>83</v>
      </c>
      <c r="C78" s="6" t="s">
        <v>82</v>
      </c>
      <c r="D78" s="10">
        <f>+D77</f>
        <v>3.4499999999999997</v>
      </c>
      <c r="E78" s="8">
        <v>0.3906</v>
      </c>
      <c r="F78" s="9">
        <v>1.3475699999999999</v>
      </c>
    </row>
    <row r="79" spans="1:6">
      <c r="A79" s="4">
        <v>72</v>
      </c>
      <c r="B79" s="5" t="s">
        <v>84</v>
      </c>
      <c r="C79" s="6" t="s">
        <v>16</v>
      </c>
      <c r="D79" s="10">
        <f>0.135+0.85</f>
        <v>0.98499999999999999</v>
      </c>
      <c r="E79" s="8">
        <v>50.092472991120005</v>
      </c>
      <c r="F79" s="9">
        <v>49.341085896253205</v>
      </c>
    </row>
    <row r="80" spans="1:6">
      <c r="A80" s="4">
        <v>73</v>
      </c>
      <c r="B80" s="5" t="s">
        <v>85</v>
      </c>
      <c r="C80" s="6" t="s">
        <v>39</v>
      </c>
      <c r="D80" s="7">
        <v>30</v>
      </c>
      <c r="E80" s="8">
        <v>7.7951149609200012</v>
      </c>
      <c r="F80" s="9">
        <v>233.85344882760003</v>
      </c>
    </row>
    <row r="81" spans="1:6" ht="27.6">
      <c r="A81" s="4">
        <v>74</v>
      </c>
      <c r="B81" s="5" t="s">
        <v>86</v>
      </c>
      <c r="C81" s="6" t="s">
        <v>82</v>
      </c>
      <c r="D81" s="17">
        <v>1.0999999999999999E-2</v>
      </c>
      <c r="E81" s="8">
        <v>716.98880405040006</v>
      </c>
      <c r="F81" s="9">
        <v>7.8868768445544006</v>
      </c>
    </row>
    <row r="82" spans="1:6">
      <c r="A82" s="4">
        <v>75</v>
      </c>
      <c r="B82" s="5" t="s">
        <v>87</v>
      </c>
      <c r="C82" s="6" t="s">
        <v>18</v>
      </c>
      <c r="D82" s="22">
        <v>9.5999999999999992E-3</v>
      </c>
      <c r="E82" s="8">
        <v>772.77154232040004</v>
      </c>
      <c r="F82" s="9">
        <v>7.4186068062758395</v>
      </c>
    </row>
    <row r="83" spans="1:6">
      <c r="A83" s="4">
        <v>76</v>
      </c>
      <c r="B83" s="5" t="s">
        <v>88</v>
      </c>
      <c r="C83" s="6" t="s">
        <v>18</v>
      </c>
      <c r="D83" s="17">
        <v>1.4999999999999999E-2</v>
      </c>
      <c r="E83" s="8">
        <v>772.77154232040004</v>
      </c>
      <c r="F83" s="9">
        <v>11.591573134806</v>
      </c>
    </row>
    <row r="84" spans="1:6">
      <c r="A84" s="4">
        <v>77</v>
      </c>
      <c r="B84" s="5" t="s">
        <v>52</v>
      </c>
      <c r="C84" s="6" t="s">
        <v>39</v>
      </c>
      <c r="D84" s="15">
        <v>6800</v>
      </c>
      <c r="E84" s="8">
        <v>0.101511781476</v>
      </c>
      <c r="F84" s="9">
        <v>690.2801140368</v>
      </c>
    </row>
    <row r="85" spans="1:6">
      <c r="A85" s="4">
        <v>78</v>
      </c>
      <c r="B85" s="5" t="s">
        <v>53</v>
      </c>
      <c r="C85" s="6" t="s">
        <v>39</v>
      </c>
      <c r="D85" s="15">
        <v>6800</v>
      </c>
      <c r="E85" s="8">
        <v>0.68128712400000002</v>
      </c>
      <c r="F85" s="9">
        <v>4632.7524432</v>
      </c>
    </row>
    <row r="86" spans="1:6" ht="27.6">
      <c r="A86" s="4">
        <v>79</v>
      </c>
      <c r="B86" s="13" t="s">
        <v>56</v>
      </c>
      <c r="C86" s="11" t="s">
        <v>25</v>
      </c>
      <c r="D86" s="14">
        <v>6800</v>
      </c>
      <c r="E86" s="8">
        <v>0.12137223168000003</v>
      </c>
      <c r="F86" s="9">
        <v>825.33117542400021</v>
      </c>
    </row>
    <row r="87" spans="1:6">
      <c r="A87" s="4">
        <v>80</v>
      </c>
      <c r="B87" s="5" t="s">
        <v>57</v>
      </c>
      <c r="C87" s="18" t="s">
        <v>47</v>
      </c>
      <c r="D87" s="16">
        <v>1</v>
      </c>
      <c r="E87" s="8">
        <v>23.2783319664</v>
      </c>
      <c r="F87" s="9">
        <v>23.2783319664</v>
      </c>
    </row>
    <row r="88" spans="1:6">
      <c r="A88" s="4">
        <v>81</v>
      </c>
      <c r="B88" s="5" t="s">
        <v>13</v>
      </c>
      <c r="C88" s="6" t="s">
        <v>12</v>
      </c>
      <c r="D88" s="7">
        <v>16</v>
      </c>
      <c r="E88" s="8">
        <v>0.85893175310460013</v>
      </c>
      <c r="F88" s="9">
        <v>13.742908049673602</v>
      </c>
    </row>
    <row r="89" spans="1:6" ht="27.6">
      <c r="A89" s="4">
        <v>82</v>
      </c>
      <c r="B89" s="5" t="s">
        <v>15</v>
      </c>
      <c r="C89" s="6" t="s">
        <v>16</v>
      </c>
      <c r="D89" s="10">
        <v>16</v>
      </c>
      <c r="E89" s="8">
        <v>0.6084083856732001</v>
      </c>
      <c r="F89" s="9">
        <v>9.7345341707712016</v>
      </c>
    </row>
    <row r="90" spans="1:6">
      <c r="A90" s="4">
        <v>83</v>
      </c>
      <c r="B90" s="5" t="s">
        <v>17</v>
      </c>
      <c r="C90" s="6" t="s">
        <v>18</v>
      </c>
      <c r="D90" s="10">
        <v>19</v>
      </c>
      <c r="E90" s="8">
        <v>0.3906</v>
      </c>
      <c r="F90" s="9">
        <v>7.4214000000000002</v>
      </c>
    </row>
    <row r="91" spans="1:6">
      <c r="A91" s="4">
        <v>84</v>
      </c>
      <c r="B91" s="5" t="s">
        <v>62</v>
      </c>
      <c r="C91" s="6" t="s">
        <v>12</v>
      </c>
      <c r="D91" s="10">
        <v>2.88</v>
      </c>
      <c r="E91" s="8">
        <v>52.413716922000006</v>
      </c>
      <c r="F91" s="9">
        <v>150.95150473536</v>
      </c>
    </row>
    <row r="92" spans="1:6" ht="27.6">
      <c r="A92" s="4">
        <v>85</v>
      </c>
      <c r="B92" s="5" t="s">
        <v>89</v>
      </c>
      <c r="C92" s="20" t="s">
        <v>64</v>
      </c>
      <c r="D92" s="15">
        <v>68</v>
      </c>
      <c r="E92" s="8">
        <v>15.30836332704</v>
      </c>
      <c r="F92" s="9">
        <v>1040.96870623872</v>
      </c>
    </row>
    <row r="93" spans="1:6">
      <c r="A93" s="4">
        <v>86</v>
      </c>
      <c r="B93" s="5" t="s">
        <v>65</v>
      </c>
      <c r="C93" s="6" t="s">
        <v>66</v>
      </c>
      <c r="D93" s="10">
        <f>0.85+0.82+0.25</f>
        <v>1.92</v>
      </c>
      <c r="E93" s="8">
        <v>134.73352988239202</v>
      </c>
      <c r="F93" s="9">
        <v>258.68837737419267</v>
      </c>
    </row>
    <row r="94" spans="1:6">
      <c r="A94" s="4">
        <v>87</v>
      </c>
      <c r="B94" s="21" t="s">
        <v>67</v>
      </c>
      <c r="C94" s="6" t="s">
        <v>47</v>
      </c>
      <c r="D94" s="15">
        <v>5</v>
      </c>
      <c r="E94" s="8">
        <v>13.02</v>
      </c>
      <c r="F94" s="9">
        <v>65.099999999999994</v>
      </c>
    </row>
    <row r="95" spans="1:6">
      <c r="A95" s="4">
        <v>88</v>
      </c>
      <c r="B95" s="5" t="s">
        <v>68</v>
      </c>
      <c r="C95" s="6" t="s">
        <v>69</v>
      </c>
      <c r="D95" s="10">
        <v>71.400000000000006</v>
      </c>
      <c r="E95" s="8">
        <v>73.351735291207802</v>
      </c>
      <c r="F95" s="9">
        <v>5237.3138997922379</v>
      </c>
    </row>
    <row r="96" spans="1:6">
      <c r="A96" s="41" t="s">
        <v>90</v>
      </c>
      <c r="B96" s="41"/>
      <c r="C96" s="41"/>
      <c r="D96" s="41"/>
      <c r="E96" s="41"/>
      <c r="F96" s="23">
        <f>SUM(F8:F95)</f>
        <v>150104.49218174099</v>
      </c>
    </row>
    <row r="97" spans="1:6">
      <c r="A97" s="43" t="s">
        <v>91</v>
      </c>
      <c r="B97" s="43"/>
      <c r="C97" s="43"/>
      <c r="D97" s="43"/>
      <c r="E97" s="43"/>
      <c r="F97" s="43"/>
    </row>
    <row r="98" spans="1:6" ht="27.6">
      <c r="A98" s="4">
        <v>1</v>
      </c>
      <c r="B98" s="5" t="s">
        <v>9</v>
      </c>
      <c r="C98" s="6" t="s">
        <v>10</v>
      </c>
      <c r="D98" s="7">
        <v>200</v>
      </c>
      <c r="E98" s="8">
        <v>1.8386889570000002E-2</v>
      </c>
      <c r="F98" s="9">
        <v>3.6773779140000005</v>
      </c>
    </row>
    <row r="99" spans="1:6">
      <c r="A99" s="4">
        <v>2</v>
      </c>
      <c r="B99" s="5" t="s">
        <v>11</v>
      </c>
      <c r="C99" s="6" t="s">
        <v>12</v>
      </c>
      <c r="D99" s="7">
        <f>760*0.8*0.8</f>
        <v>486.40000000000003</v>
      </c>
      <c r="E99" s="8">
        <v>0.67247248114199998</v>
      </c>
      <c r="F99" s="9">
        <v>327.09061482746881</v>
      </c>
    </row>
    <row r="100" spans="1:6">
      <c r="A100" s="4">
        <v>3</v>
      </c>
      <c r="B100" s="5" t="s">
        <v>13</v>
      </c>
      <c r="C100" s="6" t="s">
        <v>12</v>
      </c>
      <c r="D100" s="7">
        <f>(760*0.8*0.7)</f>
        <v>425.59999999999997</v>
      </c>
      <c r="E100" s="8">
        <v>0.85893175310460013</v>
      </c>
      <c r="F100" s="9">
        <v>365.56135412131778</v>
      </c>
    </row>
    <row r="101" spans="1:6">
      <c r="A101" s="4">
        <v>4</v>
      </c>
      <c r="B101" s="5" t="s">
        <v>14</v>
      </c>
      <c r="C101" s="6" t="s">
        <v>12</v>
      </c>
      <c r="D101" s="10">
        <f>760*0.6*0.1</f>
        <v>45.6</v>
      </c>
      <c r="E101" s="8">
        <v>3.7470791820000007</v>
      </c>
      <c r="F101" s="9">
        <v>170.86681069920004</v>
      </c>
    </row>
    <row r="102" spans="1:6" ht="27.6">
      <c r="A102" s="4">
        <v>5</v>
      </c>
      <c r="B102" s="5" t="s">
        <v>15</v>
      </c>
      <c r="C102" s="6" t="s">
        <v>16</v>
      </c>
      <c r="D102" s="10">
        <f>(+D99+D100+D101)-D104-D105</f>
        <v>729.6</v>
      </c>
      <c r="E102" s="8">
        <v>0.6084083856732001</v>
      </c>
      <c r="F102" s="9">
        <v>443.89475818716681</v>
      </c>
    </row>
    <row r="103" spans="1:6">
      <c r="A103" s="4">
        <v>6</v>
      </c>
      <c r="B103" s="5" t="s">
        <v>17</v>
      </c>
      <c r="C103" s="6" t="s">
        <v>18</v>
      </c>
      <c r="D103" s="10">
        <f>D102*1.8</f>
        <v>1313.28</v>
      </c>
      <c r="E103" s="8">
        <v>0.3906</v>
      </c>
      <c r="F103" s="9">
        <v>512.96716800000002</v>
      </c>
    </row>
    <row r="104" spans="1:6" ht="27.6">
      <c r="A104" s="4">
        <v>7</v>
      </c>
      <c r="B104" s="5" t="s">
        <v>19</v>
      </c>
      <c r="C104" s="11" t="s">
        <v>20</v>
      </c>
      <c r="D104" s="12">
        <f>760*0.6*0.1</f>
        <v>45.6</v>
      </c>
      <c r="E104" s="8">
        <v>9.7072004441999997</v>
      </c>
      <c r="F104" s="9">
        <v>442.64834025552</v>
      </c>
    </row>
    <row r="105" spans="1:6" ht="27.6">
      <c r="A105" s="4">
        <v>8</v>
      </c>
      <c r="B105" s="5" t="s">
        <v>21</v>
      </c>
      <c r="C105" s="11" t="s">
        <v>20</v>
      </c>
      <c r="D105" s="14">
        <f>(D104/0.1)*0.4</f>
        <v>182.4</v>
      </c>
      <c r="E105" s="8">
        <v>9.7072004441999997</v>
      </c>
      <c r="F105" s="9">
        <v>1770.59336102208</v>
      </c>
    </row>
    <row r="106" spans="1:6">
      <c r="A106" s="4">
        <v>9</v>
      </c>
      <c r="B106" s="5" t="s">
        <v>22</v>
      </c>
      <c r="C106" s="6" t="s">
        <v>12</v>
      </c>
      <c r="D106" s="7">
        <v>95</v>
      </c>
      <c r="E106" s="8">
        <v>0.35379955199399998</v>
      </c>
      <c r="F106" s="9">
        <v>33.610957439429995</v>
      </c>
    </row>
    <row r="107" spans="1:6" ht="27.6">
      <c r="A107" s="4">
        <v>10</v>
      </c>
      <c r="B107" s="5" t="s">
        <v>23</v>
      </c>
      <c r="C107" s="6" t="s">
        <v>12</v>
      </c>
      <c r="D107" s="7">
        <f>D102</f>
        <v>729.6</v>
      </c>
      <c r="E107" s="8">
        <v>0.42407832990600003</v>
      </c>
      <c r="F107" s="9">
        <v>309.40754949941766</v>
      </c>
    </row>
    <row r="108" spans="1:6">
      <c r="A108" s="4">
        <v>11</v>
      </c>
      <c r="B108" s="13" t="s">
        <v>24</v>
      </c>
      <c r="C108" s="11" t="s">
        <v>25</v>
      </c>
      <c r="D108" s="14">
        <v>10</v>
      </c>
      <c r="E108" s="8">
        <v>0.69544420590959999</v>
      </c>
      <c r="F108" s="9">
        <v>6.9544420590959994</v>
      </c>
    </row>
    <row r="109" spans="1:6" ht="27.6">
      <c r="A109" s="4">
        <v>12</v>
      </c>
      <c r="B109" s="13" t="s">
        <v>26</v>
      </c>
      <c r="C109" s="11" t="s">
        <v>27</v>
      </c>
      <c r="D109" s="12">
        <v>10</v>
      </c>
      <c r="E109" s="8">
        <v>5.7435695971331988</v>
      </c>
      <c r="F109" s="9">
        <v>57.435695971331988</v>
      </c>
    </row>
    <row r="110" spans="1:6" ht="15.6">
      <c r="A110" s="4">
        <v>13</v>
      </c>
      <c r="B110" s="13" t="s">
        <v>28</v>
      </c>
      <c r="C110" s="11" t="s">
        <v>27</v>
      </c>
      <c r="D110" s="12">
        <v>10</v>
      </c>
      <c r="E110" s="8">
        <v>4.0653740936759997</v>
      </c>
      <c r="F110" s="9">
        <v>40.653740936759995</v>
      </c>
    </row>
    <row r="111" spans="1:6">
      <c r="A111" s="4">
        <v>14</v>
      </c>
      <c r="B111" s="5" t="s">
        <v>29</v>
      </c>
      <c r="C111" s="6" t="s">
        <v>30</v>
      </c>
      <c r="D111" s="15">
        <v>500</v>
      </c>
      <c r="E111" s="8">
        <v>1.7573702544384</v>
      </c>
      <c r="F111" s="9">
        <v>878.68512721920001</v>
      </c>
    </row>
    <row r="112" spans="1:6" ht="27.6">
      <c r="A112" s="4">
        <v>15</v>
      </c>
      <c r="B112" s="13" t="s">
        <v>92</v>
      </c>
      <c r="C112" s="11" t="s">
        <v>32</v>
      </c>
      <c r="D112" s="14">
        <v>760</v>
      </c>
      <c r="E112" s="8">
        <v>3.1708238772000006</v>
      </c>
      <c r="F112" s="9">
        <v>2409.8261466720005</v>
      </c>
    </row>
    <row r="113" spans="1:6" ht="15.6">
      <c r="A113" s="4">
        <v>16</v>
      </c>
      <c r="B113" s="19" t="s">
        <v>58</v>
      </c>
      <c r="C113" s="11" t="s">
        <v>20</v>
      </c>
      <c r="D113" s="12">
        <v>0.8</v>
      </c>
      <c r="E113" s="8">
        <v>10.678178297639999</v>
      </c>
      <c r="F113" s="9">
        <v>8.5425426381119998</v>
      </c>
    </row>
    <row r="114" spans="1:6">
      <c r="A114" s="4">
        <v>17</v>
      </c>
      <c r="B114" s="5" t="s">
        <v>59</v>
      </c>
      <c r="C114" s="6" t="s">
        <v>12</v>
      </c>
      <c r="D114" s="10">
        <v>0.8</v>
      </c>
      <c r="E114" s="8">
        <v>43.763472864720008</v>
      </c>
      <c r="F114" s="9">
        <v>35.010778291776006</v>
      </c>
    </row>
    <row r="115" spans="1:6">
      <c r="A115" s="4">
        <v>18</v>
      </c>
      <c r="B115" s="5" t="s">
        <v>93</v>
      </c>
      <c r="C115" s="6" t="s">
        <v>61</v>
      </c>
      <c r="D115" s="15">
        <v>1</v>
      </c>
      <c r="E115" s="8">
        <v>1414.752649884168</v>
      </c>
      <c r="F115" s="9">
        <v>1414.752649884168</v>
      </c>
    </row>
    <row r="116" spans="1:6">
      <c r="A116" s="4">
        <v>19</v>
      </c>
      <c r="B116" s="13" t="s">
        <v>72</v>
      </c>
      <c r="C116" s="11" t="s">
        <v>32</v>
      </c>
      <c r="D116" s="14">
        <v>5.4</v>
      </c>
      <c r="E116" s="8">
        <v>3.2011669351200003</v>
      </c>
      <c r="F116" s="9">
        <v>17.286301449648004</v>
      </c>
    </row>
    <row r="117" spans="1:6" ht="27.6">
      <c r="A117" s="4">
        <v>20</v>
      </c>
      <c r="B117" s="5" t="s">
        <v>94</v>
      </c>
      <c r="C117" s="6" t="s">
        <v>34</v>
      </c>
      <c r="D117" s="10">
        <v>0.2</v>
      </c>
      <c r="E117" s="8">
        <v>83.524291863599998</v>
      </c>
      <c r="F117" s="9">
        <v>16.70485837272</v>
      </c>
    </row>
    <row r="118" spans="1:6" ht="27.6">
      <c r="A118" s="4">
        <v>21</v>
      </c>
      <c r="B118" s="13" t="s">
        <v>95</v>
      </c>
      <c r="C118" s="11" t="s">
        <v>36</v>
      </c>
      <c r="D118" s="16">
        <v>2</v>
      </c>
      <c r="E118" s="8">
        <v>16.575397882680001</v>
      </c>
      <c r="F118" s="9">
        <v>33.150795765360002</v>
      </c>
    </row>
    <row r="119" spans="1:6">
      <c r="A119" s="4">
        <v>22</v>
      </c>
      <c r="B119" s="5" t="s">
        <v>96</v>
      </c>
      <c r="C119" s="6" t="s">
        <v>36</v>
      </c>
      <c r="D119" s="15">
        <v>1</v>
      </c>
      <c r="E119" s="8">
        <v>66.367893198600015</v>
      </c>
      <c r="F119" s="9">
        <v>66.367893198600015</v>
      </c>
    </row>
    <row r="120" spans="1:6" ht="27.6">
      <c r="A120" s="4">
        <v>23</v>
      </c>
      <c r="B120" s="5" t="s">
        <v>97</v>
      </c>
      <c r="C120" s="6" t="s">
        <v>18</v>
      </c>
      <c r="D120" s="17">
        <f>0.005*3</f>
        <v>1.4999999999999999E-2</v>
      </c>
      <c r="E120" s="8">
        <v>2890.0241099519999</v>
      </c>
      <c r="F120" s="9">
        <v>43.350361649279996</v>
      </c>
    </row>
    <row r="121" spans="1:6">
      <c r="A121" s="4">
        <v>24</v>
      </c>
      <c r="B121" s="5" t="s">
        <v>42</v>
      </c>
      <c r="C121" s="6" t="s">
        <v>43</v>
      </c>
      <c r="D121" s="7">
        <v>15</v>
      </c>
      <c r="E121" s="8">
        <v>2.3711578195200005</v>
      </c>
      <c r="F121" s="9">
        <v>35.567367292800007</v>
      </c>
    </row>
    <row r="122" spans="1:6" ht="27.6">
      <c r="A122" s="4">
        <v>25</v>
      </c>
      <c r="B122" s="5" t="s">
        <v>98</v>
      </c>
      <c r="C122" s="6" t="s">
        <v>39</v>
      </c>
      <c r="D122" s="7">
        <v>28</v>
      </c>
      <c r="E122" s="8">
        <v>11.079159405022644</v>
      </c>
      <c r="F122" s="9">
        <v>310.21646334063405</v>
      </c>
    </row>
    <row r="123" spans="1:6">
      <c r="A123" s="4">
        <v>26</v>
      </c>
      <c r="B123" s="5" t="s">
        <v>99</v>
      </c>
      <c r="C123" s="6" t="s">
        <v>47</v>
      </c>
      <c r="D123" s="7">
        <v>5</v>
      </c>
      <c r="E123" s="8">
        <v>12.63228935934</v>
      </c>
      <c r="F123" s="9">
        <v>63.161446796699998</v>
      </c>
    </row>
    <row r="124" spans="1:6">
      <c r="A124" s="4">
        <v>27</v>
      </c>
      <c r="B124" s="5" t="s">
        <v>84</v>
      </c>
      <c r="C124" s="6" t="s">
        <v>16</v>
      </c>
      <c r="D124" s="10">
        <v>0.09</v>
      </c>
      <c r="E124" s="8">
        <v>50.092472991120005</v>
      </c>
      <c r="F124" s="9">
        <v>4.5083225692008</v>
      </c>
    </row>
    <row r="125" spans="1:6">
      <c r="A125" s="4">
        <v>28</v>
      </c>
      <c r="B125" s="5" t="s">
        <v>52</v>
      </c>
      <c r="C125" s="6" t="s">
        <v>39</v>
      </c>
      <c r="D125" s="7">
        <v>760</v>
      </c>
      <c r="E125" s="8">
        <v>0.101511781476</v>
      </c>
      <c r="F125" s="9">
        <v>77.148953921759997</v>
      </c>
    </row>
    <row r="126" spans="1:6">
      <c r="A126" s="4">
        <v>29</v>
      </c>
      <c r="B126" s="5" t="s">
        <v>53</v>
      </c>
      <c r="C126" s="6" t="s">
        <v>39</v>
      </c>
      <c r="D126" s="7">
        <v>760</v>
      </c>
      <c r="E126" s="8">
        <v>0.68128712400000002</v>
      </c>
      <c r="F126" s="9">
        <v>517.77821424000001</v>
      </c>
    </row>
    <row r="127" spans="1:6" ht="27.6">
      <c r="A127" s="4">
        <v>30</v>
      </c>
      <c r="B127" s="13" t="s">
        <v>56</v>
      </c>
      <c r="C127" s="11" t="s">
        <v>25</v>
      </c>
      <c r="D127" s="14">
        <v>760</v>
      </c>
      <c r="E127" s="8">
        <v>0.12137223168000003</v>
      </c>
      <c r="F127" s="9">
        <v>92.242896076800022</v>
      </c>
    </row>
    <row r="128" spans="1:6">
      <c r="A128" s="4">
        <v>31</v>
      </c>
      <c r="B128" s="5" t="s">
        <v>57</v>
      </c>
      <c r="C128" s="18" t="s">
        <v>47</v>
      </c>
      <c r="D128" s="16">
        <v>1</v>
      </c>
      <c r="E128" s="8">
        <v>23.2783319664</v>
      </c>
      <c r="F128" s="9">
        <v>23.2783319664</v>
      </c>
    </row>
    <row r="129" spans="1:6">
      <c r="A129" s="4">
        <v>32</v>
      </c>
      <c r="B129" s="5" t="s">
        <v>13</v>
      </c>
      <c r="C129" s="6" t="s">
        <v>12</v>
      </c>
      <c r="D129" s="7">
        <v>2.2000000000000002</v>
      </c>
      <c r="E129" s="8">
        <v>0.85893175310460013</v>
      </c>
      <c r="F129" s="9">
        <v>1.8896498568301203</v>
      </c>
    </row>
    <row r="130" spans="1:6" ht="27.6">
      <c r="A130" s="4">
        <v>33</v>
      </c>
      <c r="B130" s="5" t="s">
        <v>15</v>
      </c>
      <c r="C130" s="6" t="s">
        <v>16</v>
      </c>
      <c r="D130" s="10">
        <v>2.2000000000000002</v>
      </c>
      <c r="E130" s="8">
        <v>0.6084083856732001</v>
      </c>
      <c r="F130" s="9">
        <v>1.3384984484810403</v>
      </c>
    </row>
    <row r="131" spans="1:6">
      <c r="A131" s="4">
        <v>34</v>
      </c>
      <c r="B131" s="5" t="s">
        <v>17</v>
      </c>
      <c r="C131" s="6" t="s">
        <v>18</v>
      </c>
      <c r="D131" s="10">
        <v>2.6</v>
      </c>
      <c r="E131" s="8">
        <v>0.3906</v>
      </c>
      <c r="F131" s="9">
        <v>1.01556</v>
      </c>
    </row>
    <row r="132" spans="1:6">
      <c r="A132" s="4">
        <v>35</v>
      </c>
      <c r="B132" s="5" t="s">
        <v>62</v>
      </c>
      <c r="C132" s="6" t="s">
        <v>12</v>
      </c>
      <c r="D132" s="10">
        <v>0.06</v>
      </c>
      <c r="E132" s="8">
        <v>52.413716922000006</v>
      </c>
      <c r="F132" s="9">
        <v>3.1448230153200001</v>
      </c>
    </row>
    <row r="133" spans="1:6" ht="27.6">
      <c r="A133" s="4">
        <v>36</v>
      </c>
      <c r="B133" s="5" t="s">
        <v>100</v>
      </c>
      <c r="C133" s="20" t="s">
        <v>64</v>
      </c>
      <c r="D133" s="15">
        <v>5</v>
      </c>
      <c r="E133" s="8">
        <v>16.032045258431999</v>
      </c>
      <c r="F133" s="9">
        <v>80.16022629215999</v>
      </c>
    </row>
    <row r="134" spans="1:6" ht="27.6">
      <c r="A134" s="4">
        <v>37</v>
      </c>
      <c r="B134" s="5" t="s">
        <v>54</v>
      </c>
      <c r="C134" s="6" t="s">
        <v>55</v>
      </c>
      <c r="D134" s="7">
        <v>64</v>
      </c>
      <c r="E134" s="8">
        <v>1.3839543900000004</v>
      </c>
      <c r="F134" s="9">
        <v>88.573080960000027</v>
      </c>
    </row>
    <row r="135" spans="1:6">
      <c r="A135" s="4">
        <v>38</v>
      </c>
      <c r="B135" s="5" t="s">
        <v>65</v>
      </c>
      <c r="C135" s="6" t="s">
        <v>66</v>
      </c>
      <c r="D135" s="10">
        <f>0.03+0.18+0.1</f>
        <v>0.31</v>
      </c>
      <c r="E135" s="8">
        <v>134.73352988239202</v>
      </c>
      <c r="F135" s="9">
        <v>41.767394263541526</v>
      </c>
    </row>
    <row r="136" spans="1:6">
      <c r="A136" s="4">
        <v>39</v>
      </c>
      <c r="B136" s="21" t="s">
        <v>67</v>
      </c>
      <c r="C136" s="6" t="s">
        <v>47</v>
      </c>
      <c r="D136" s="15">
        <v>1</v>
      </c>
      <c r="E136" s="8">
        <v>13.02</v>
      </c>
      <c r="F136" s="9">
        <v>13.02</v>
      </c>
    </row>
    <row r="137" spans="1:6">
      <c r="A137" s="4">
        <v>40</v>
      </c>
      <c r="B137" s="5" t="s">
        <v>68</v>
      </c>
      <c r="C137" s="6" t="s">
        <v>69</v>
      </c>
      <c r="D137" s="10">
        <v>7.68</v>
      </c>
      <c r="E137" s="8">
        <v>73.351735291207802</v>
      </c>
      <c r="F137" s="9">
        <v>563.34132703647595</v>
      </c>
    </row>
    <row r="138" spans="1:6">
      <c r="A138" s="41" t="s">
        <v>90</v>
      </c>
      <c r="B138" s="41"/>
      <c r="C138" s="41"/>
      <c r="D138" s="41"/>
      <c r="E138" s="41"/>
      <c r="F138" s="23">
        <f>SUM(F98:F137)</f>
        <v>11327.192182150757</v>
      </c>
    </row>
    <row r="139" spans="1:6" ht="15">
      <c r="A139" s="44" t="s">
        <v>101</v>
      </c>
      <c r="B139" s="44"/>
      <c r="C139" s="44"/>
      <c r="D139" s="44"/>
      <c r="E139" s="44"/>
      <c r="F139" s="44"/>
    </row>
    <row r="140" spans="1:6" ht="27.6">
      <c r="A140" s="4">
        <v>1</v>
      </c>
      <c r="B140" s="5" t="s">
        <v>9</v>
      </c>
      <c r="C140" s="6" t="s">
        <v>10</v>
      </c>
      <c r="D140" s="7">
        <v>200</v>
      </c>
      <c r="E140" s="8">
        <v>1.8386889570000002E-2</v>
      </c>
      <c r="F140" s="9">
        <v>3.6773779140000005</v>
      </c>
    </row>
    <row r="141" spans="1:6">
      <c r="A141" s="4">
        <v>2</v>
      </c>
      <c r="B141" s="5" t="s">
        <v>11</v>
      </c>
      <c r="C141" s="6" t="s">
        <v>12</v>
      </c>
      <c r="D141" s="7">
        <f>534*0.8*0.8</f>
        <v>341.76000000000005</v>
      </c>
      <c r="E141" s="8">
        <v>0.67247248114199998</v>
      </c>
      <c r="F141" s="9">
        <v>229.82419515508994</v>
      </c>
    </row>
    <row r="142" spans="1:6">
      <c r="A142" s="4">
        <v>3</v>
      </c>
      <c r="B142" s="5" t="s">
        <v>13</v>
      </c>
      <c r="C142" s="6" t="s">
        <v>12</v>
      </c>
      <c r="D142" s="7">
        <f>(534*0.8*0.7)</f>
        <v>299.04000000000002</v>
      </c>
      <c r="E142" s="8">
        <v>0.85893175310460013</v>
      </c>
      <c r="F142" s="9">
        <v>256.85495144839962</v>
      </c>
    </row>
    <row r="143" spans="1:6">
      <c r="A143" s="4">
        <v>4</v>
      </c>
      <c r="B143" s="5" t="s">
        <v>14</v>
      </c>
      <c r="C143" s="6" t="s">
        <v>12</v>
      </c>
      <c r="D143" s="10">
        <f>534*0.6*0.1</f>
        <v>32.04</v>
      </c>
      <c r="E143" s="8">
        <v>3.7470791820000007</v>
      </c>
      <c r="F143" s="9">
        <v>120.05641699128002</v>
      </c>
    </row>
    <row r="144" spans="1:6" ht="27.6">
      <c r="A144" s="4">
        <v>5</v>
      </c>
      <c r="B144" s="5" t="s">
        <v>15</v>
      </c>
      <c r="C144" s="6" t="s">
        <v>16</v>
      </c>
      <c r="D144" s="10">
        <f>(+D141+D142+D143)-D146-D147</f>
        <v>512.6400000000001</v>
      </c>
      <c r="E144" s="8">
        <v>0.6084083856732001</v>
      </c>
      <c r="F144" s="9">
        <v>311.89447483150934</v>
      </c>
    </row>
    <row r="145" spans="1:6">
      <c r="A145" s="4">
        <v>6</v>
      </c>
      <c r="B145" s="5" t="s">
        <v>17</v>
      </c>
      <c r="C145" s="6" t="s">
        <v>18</v>
      </c>
      <c r="D145" s="10">
        <f>D144*1.8</f>
        <v>922.75200000000018</v>
      </c>
      <c r="E145" s="8">
        <v>0.3906</v>
      </c>
      <c r="F145" s="9">
        <v>360.42693120000007</v>
      </c>
    </row>
    <row r="146" spans="1:6" ht="27.6">
      <c r="A146" s="4">
        <v>7</v>
      </c>
      <c r="B146" s="5" t="s">
        <v>19</v>
      </c>
      <c r="C146" s="11" t="s">
        <v>20</v>
      </c>
      <c r="D146" s="12">
        <f>534*0.6*0.1</f>
        <v>32.04</v>
      </c>
      <c r="E146" s="8">
        <v>9.7072004441999997</v>
      </c>
      <c r="F146" s="9">
        <v>311.01870223216798</v>
      </c>
    </row>
    <row r="147" spans="1:6" ht="27.6">
      <c r="A147" s="4">
        <v>8</v>
      </c>
      <c r="B147" s="5" t="s">
        <v>21</v>
      </c>
      <c r="C147" s="11" t="s">
        <v>20</v>
      </c>
      <c r="D147" s="14">
        <f>(D146/0.1)*0.4</f>
        <v>128.16</v>
      </c>
      <c r="E147" s="8">
        <v>9.7072004441999997</v>
      </c>
      <c r="F147" s="9">
        <v>1244.0748089286719</v>
      </c>
    </row>
    <row r="148" spans="1:6">
      <c r="A148" s="4">
        <v>9</v>
      </c>
      <c r="B148" s="5" t="s">
        <v>22</v>
      </c>
      <c r="C148" s="6" t="s">
        <v>12</v>
      </c>
      <c r="D148" s="7">
        <v>95</v>
      </c>
      <c r="E148" s="8">
        <v>0.35379955199399998</v>
      </c>
      <c r="F148" s="9">
        <v>33.610957439429995</v>
      </c>
    </row>
    <row r="149" spans="1:6" ht="27.6">
      <c r="A149" s="4">
        <v>10</v>
      </c>
      <c r="B149" s="5" t="s">
        <v>23</v>
      </c>
      <c r="C149" s="6" t="s">
        <v>12</v>
      </c>
      <c r="D149" s="7">
        <f>D144</f>
        <v>512.6400000000001</v>
      </c>
      <c r="E149" s="8">
        <v>0.42407832990600003</v>
      </c>
      <c r="F149" s="9">
        <v>217.39951504301189</v>
      </c>
    </row>
    <row r="150" spans="1:6">
      <c r="A150" s="4">
        <v>11</v>
      </c>
      <c r="B150" s="13" t="s">
        <v>24</v>
      </c>
      <c r="C150" s="11" t="s">
        <v>25</v>
      </c>
      <c r="D150" s="14">
        <v>20</v>
      </c>
      <c r="E150" s="8">
        <v>0.69544420590959999</v>
      </c>
      <c r="F150" s="9">
        <v>13.908884118191999</v>
      </c>
    </row>
    <row r="151" spans="1:6" ht="27.6">
      <c r="A151" s="4">
        <v>12</v>
      </c>
      <c r="B151" s="13" t="s">
        <v>26</v>
      </c>
      <c r="C151" s="11" t="s">
        <v>27</v>
      </c>
      <c r="D151" s="12">
        <v>25</v>
      </c>
      <c r="E151" s="8">
        <v>5.7435695971331988</v>
      </c>
      <c r="F151" s="9">
        <v>143.58923992832996</v>
      </c>
    </row>
    <row r="152" spans="1:6" ht="15.6">
      <c r="A152" s="4">
        <v>13</v>
      </c>
      <c r="B152" s="13" t="s">
        <v>28</v>
      </c>
      <c r="C152" s="11" t="s">
        <v>27</v>
      </c>
      <c r="D152" s="12">
        <v>25</v>
      </c>
      <c r="E152" s="8">
        <v>4.0653740936759997</v>
      </c>
      <c r="F152" s="9">
        <v>101.6343523419</v>
      </c>
    </row>
    <row r="153" spans="1:6">
      <c r="A153" s="4">
        <v>14</v>
      </c>
      <c r="B153" s="5" t="s">
        <v>29</v>
      </c>
      <c r="C153" s="6" t="s">
        <v>30</v>
      </c>
      <c r="D153" s="15">
        <v>280</v>
      </c>
      <c r="E153" s="8">
        <v>1.7573702544384</v>
      </c>
      <c r="F153" s="9">
        <v>492.06367124275198</v>
      </c>
    </row>
    <row r="154" spans="1:6" ht="27.6">
      <c r="A154" s="4">
        <v>15</v>
      </c>
      <c r="B154" s="13" t="s">
        <v>92</v>
      </c>
      <c r="C154" s="11" t="s">
        <v>32</v>
      </c>
      <c r="D154" s="14">
        <v>534</v>
      </c>
      <c r="E154" s="8">
        <v>3.1708238772000006</v>
      </c>
      <c r="F154" s="9">
        <v>1693.2199504248003</v>
      </c>
    </row>
    <row r="155" spans="1:6" ht="27.6">
      <c r="A155" s="4">
        <v>16</v>
      </c>
      <c r="B155" s="5" t="s">
        <v>102</v>
      </c>
      <c r="C155" s="6" t="s">
        <v>34</v>
      </c>
      <c r="D155" s="10">
        <v>0.1</v>
      </c>
      <c r="E155" s="8">
        <v>570.53037147960003</v>
      </c>
      <c r="F155" s="9">
        <v>57.053037147960005</v>
      </c>
    </row>
    <row r="156" spans="1:6" ht="15.6">
      <c r="A156" s="4">
        <v>17</v>
      </c>
      <c r="B156" s="19" t="s">
        <v>58</v>
      </c>
      <c r="C156" s="11" t="s">
        <v>20</v>
      </c>
      <c r="D156" s="12">
        <v>0.8</v>
      </c>
      <c r="E156" s="8">
        <v>10.678178297639999</v>
      </c>
      <c r="F156" s="9">
        <v>8.5425426381119998</v>
      </c>
    </row>
    <row r="157" spans="1:6">
      <c r="A157" s="4">
        <v>18</v>
      </c>
      <c r="B157" s="5" t="s">
        <v>59</v>
      </c>
      <c r="C157" s="6" t="s">
        <v>12</v>
      </c>
      <c r="D157" s="10">
        <v>0.8</v>
      </c>
      <c r="E157" s="8">
        <v>43.763472864720008</v>
      </c>
      <c r="F157" s="9">
        <v>35.010778291776006</v>
      </c>
    </row>
    <row r="158" spans="1:6">
      <c r="A158" s="4">
        <v>19</v>
      </c>
      <c r="B158" s="5" t="s">
        <v>93</v>
      </c>
      <c r="C158" s="6" t="s">
        <v>61</v>
      </c>
      <c r="D158" s="15">
        <v>1</v>
      </c>
      <c r="E158" s="8">
        <v>1414.752649884168</v>
      </c>
      <c r="F158" s="9">
        <v>1414.752649884168</v>
      </c>
    </row>
    <row r="159" spans="1:6">
      <c r="A159" s="4">
        <v>20</v>
      </c>
      <c r="B159" s="13" t="s">
        <v>72</v>
      </c>
      <c r="C159" s="11" t="s">
        <v>32</v>
      </c>
      <c r="D159" s="14">
        <v>5.4</v>
      </c>
      <c r="E159" s="8">
        <v>3.2011669351200003</v>
      </c>
      <c r="F159" s="9">
        <v>17.286301449648004</v>
      </c>
    </row>
    <row r="160" spans="1:6" ht="27.6">
      <c r="A160" s="4">
        <v>21</v>
      </c>
      <c r="B160" s="5" t="s">
        <v>94</v>
      </c>
      <c r="C160" s="6" t="s">
        <v>34</v>
      </c>
      <c r="D160" s="10">
        <v>0.2</v>
      </c>
      <c r="E160" s="8">
        <v>83.524291863599998</v>
      </c>
      <c r="F160" s="9">
        <v>16.70485837272</v>
      </c>
    </row>
    <row r="161" spans="1:6" ht="27.6">
      <c r="A161" s="4">
        <v>22</v>
      </c>
      <c r="B161" s="13" t="s">
        <v>95</v>
      </c>
      <c r="C161" s="11" t="s">
        <v>36</v>
      </c>
      <c r="D161" s="16">
        <v>2</v>
      </c>
      <c r="E161" s="8">
        <v>16.575397882680001</v>
      </c>
      <c r="F161" s="9">
        <v>33.150795765360002</v>
      </c>
    </row>
    <row r="162" spans="1:6">
      <c r="A162" s="4">
        <v>23</v>
      </c>
      <c r="B162" s="5" t="s">
        <v>96</v>
      </c>
      <c r="C162" s="6" t="s">
        <v>36</v>
      </c>
      <c r="D162" s="15">
        <v>1</v>
      </c>
      <c r="E162" s="8">
        <v>66.367893198600015</v>
      </c>
      <c r="F162" s="9">
        <v>66.367893198600015</v>
      </c>
    </row>
    <row r="163" spans="1:6" ht="27.6">
      <c r="A163" s="4">
        <v>24</v>
      </c>
      <c r="B163" s="5" t="s">
        <v>97</v>
      </c>
      <c r="C163" s="6" t="s">
        <v>18</v>
      </c>
      <c r="D163" s="17">
        <f>0.005*3</f>
        <v>1.4999999999999999E-2</v>
      </c>
      <c r="E163" s="8">
        <v>2890.0241099519999</v>
      </c>
      <c r="F163" s="9">
        <v>43.350361649279996</v>
      </c>
    </row>
    <row r="164" spans="1:6">
      <c r="A164" s="4">
        <v>25</v>
      </c>
      <c r="B164" s="5" t="s">
        <v>42</v>
      </c>
      <c r="C164" s="6" t="s">
        <v>43</v>
      </c>
      <c r="D164" s="7">
        <v>10</v>
      </c>
      <c r="E164" s="8">
        <v>2.3711578195200005</v>
      </c>
      <c r="F164" s="9">
        <v>23.711578195200005</v>
      </c>
    </row>
    <row r="165" spans="1:6" ht="27.6">
      <c r="A165" s="4">
        <v>26</v>
      </c>
      <c r="B165" s="5" t="s">
        <v>98</v>
      </c>
      <c r="C165" s="6" t="s">
        <v>39</v>
      </c>
      <c r="D165" s="7">
        <v>8</v>
      </c>
      <c r="E165" s="8">
        <v>11.079159405022644</v>
      </c>
      <c r="F165" s="9">
        <v>88.633275240181149</v>
      </c>
    </row>
    <row r="166" spans="1:6">
      <c r="A166" s="4">
        <v>27</v>
      </c>
      <c r="B166" s="5" t="s">
        <v>99</v>
      </c>
      <c r="C166" s="6" t="s">
        <v>47</v>
      </c>
      <c r="D166" s="7">
        <v>2</v>
      </c>
      <c r="E166" s="8">
        <v>12.63228935934</v>
      </c>
      <c r="F166" s="9">
        <v>25.264578718679999</v>
      </c>
    </row>
    <row r="167" spans="1:6">
      <c r="A167" s="4">
        <v>28</v>
      </c>
      <c r="B167" s="5" t="s">
        <v>84</v>
      </c>
      <c r="C167" s="6" t="s">
        <v>16</v>
      </c>
      <c r="D167" s="10">
        <v>0.09</v>
      </c>
      <c r="E167" s="8">
        <v>50.092472991120005</v>
      </c>
      <c r="F167" s="9">
        <v>4.5083225692008</v>
      </c>
    </row>
    <row r="168" spans="1:6">
      <c r="A168" s="4">
        <v>29</v>
      </c>
      <c r="B168" s="5" t="s">
        <v>52</v>
      </c>
      <c r="C168" s="6" t="s">
        <v>39</v>
      </c>
      <c r="D168" s="7">
        <v>535</v>
      </c>
      <c r="E168" s="8">
        <v>0.101511781476</v>
      </c>
      <c r="F168" s="9">
        <v>54.308803089659996</v>
      </c>
    </row>
    <row r="169" spans="1:6">
      <c r="A169" s="4">
        <v>30</v>
      </c>
      <c r="B169" s="5" t="s">
        <v>53</v>
      </c>
      <c r="C169" s="6" t="s">
        <v>39</v>
      </c>
      <c r="D169" s="7">
        <v>535</v>
      </c>
      <c r="E169" s="8">
        <v>0.68128712400000002</v>
      </c>
      <c r="F169" s="9">
        <v>364.48861134000003</v>
      </c>
    </row>
    <row r="170" spans="1:6" ht="27.6">
      <c r="A170" s="4">
        <v>31</v>
      </c>
      <c r="B170" s="13" t="s">
        <v>56</v>
      </c>
      <c r="C170" s="11" t="s">
        <v>25</v>
      </c>
      <c r="D170" s="14">
        <v>535</v>
      </c>
      <c r="E170" s="8">
        <v>0.12137223168000003</v>
      </c>
      <c r="F170" s="9">
        <v>64.934143948800013</v>
      </c>
    </row>
    <row r="171" spans="1:6">
      <c r="A171" s="4">
        <v>32</v>
      </c>
      <c r="B171" s="5" t="s">
        <v>57</v>
      </c>
      <c r="C171" s="18" t="s">
        <v>47</v>
      </c>
      <c r="D171" s="16">
        <v>1</v>
      </c>
      <c r="E171" s="8">
        <v>23.2783319664</v>
      </c>
      <c r="F171" s="9">
        <v>23.2783319664</v>
      </c>
    </row>
    <row r="172" spans="1:6">
      <c r="A172" s="4">
        <v>33</v>
      </c>
      <c r="B172" s="5" t="s">
        <v>13</v>
      </c>
      <c r="C172" s="6" t="s">
        <v>12</v>
      </c>
      <c r="D172" s="7">
        <v>2.2000000000000002</v>
      </c>
      <c r="E172" s="8">
        <v>0.85893175310460013</v>
      </c>
      <c r="F172" s="9">
        <v>1.8896498568301203</v>
      </c>
    </row>
    <row r="173" spans="1:6" ht="27.6">
      <c r="A173" s="4">
        <v>34</v>
      </c>
      <c r="B173" s="5" t="s">
        <v>15</v>
      </c>
      <c r="C173" s="6" t="s">
        <v>16</v>
      </c>
      <c r="D173" s="10">
        <v>2.2000000000000002</v>
      </c>
      <c r="E173" s="8">
        <v>0.6084083856732001</v>
      </c>
      <c r="F173" s="9">
        <v>1.3384984484810403</v>
      </c>
    </row>
    <row r="174" spans="1:6">
      <c r="A174" s="4">
        <v>35</v>
      </c>
      <c r="B174" s="5" t="s">
        <v>17</v>
      </c>
      <c r="C174" s="6" t="s">
        <v>18</v>
      </c>
      <c r="D174" s="10">
        <v>2.6</v>
      </c>
      <c r="E174" s="8">
        <v>0.3906</v>
      </c>
      <c r="F174" s="9">
        <v>1.01556</v>
      </c>
    </row>
    <row r="175" spans="1:6">
      <c r="A175" s="4">
        <v>36</v>
      </c>
      <c r="B175" s="5" t="s">
        <v>62</v>
      </c>
      <c r="C175" s="6" t="s">
        <v>12</v>
      </c>
      <c r="D175" s="10">
        <v>0.04</v>
      </c>
      <c r="E175" s="8">
        <v>52.413716922000006</v>
      </c>
      <c r="F175" s="9">
        <v>2.0965486768800004</v>
      </c>
    </row>
    <row r="176" spans="1:6" ht="27.6">
      <c r="A176" s="4">
        <v>37</v>
      </c>
      <c r="B176" s="5" t="s">
        <v>103</v>
      </c>
      <c r="C176" s="20" t="s">
        <v>64</v>
      </c>
      <c r="D176" s="15">
        <v>3</v>
      </c>
      <c r="E176" s="8">
        <v>17.720636431679999</v>
      </c>
      <c r="F176" s="9">
        <v>53.161909295039997</v>
      </c>
    </row>
    <row r="177" spans="1:6" ht="27.6">
      <c r="A177" s="4">
        <v>38</v>
      </c>
      <c r="B177" s="5" t="s">
        <v>54</v>
      </c>
      <c r="C177" s="6" t="s">
        <v>55</v>
      </c>
      <c r="D177" s="7">
        <v>45</v>
      </c>
      <c r="E177" s="8">
        <v>1.3839543900000004</v>
      </c>
      <c r="F177" s="9">
        <v>62.277947550000022</v>
      </c>
    </row>
    <row r="178" spans="1:6">
      <c r="A178" s="4">
        <v>39</v>
      </c>
      <c r="B178" s="5" t="s">
        <v>65</v>
      </c>
      <c r="C178" s="6" t="s">
        <v>66</v>
      </c>
      <c r="D178" s="10">
        <f>0.03+0.02+0.1</f>
        <v>0.15000000000000002</v>
      </c>
      <c r="E178" s="8">
        <v>134.73352988239202</v>
      </c>
      <c r="F178" s="9">
        <v>20.210029482358806</v>
      </c>
    </row>
    <row r="179" spans="1:6">
      <c r="A179" s="4">
        <v>40</v>
      </c>
      <c r="B179" s="21" t="s">
        <v>67</v>
      </c>
      <c r="C179" s="6" t="s">
        <v>47</v>
      </c>
      <c r="D179" s="15">
        <v>1</v>
      </c>
      <c r="E179" s="8">
        <v>13.02</v>
      </c>
      <c r="F179" s="9">
        <v>13.02</v>
      </c>
    </row>
    <row r="180" spans="1:6">
      <c r="A180" s="4">
        <v>41</v>
      </c>
      <c r="B180" s="5" t="s">
        <v>68</v>
      </c>
      <c r="C180" s="6" t="s">
        <v>69</v>
      </c>
      <c r="D180" s="10">
        <v>5.4</v>
      </c>
      <c r="E180" s="8">
        <v>73.351735291207802</v>
      </c>
      <c r="F180" s="9">
        <v>396.09937057252216</v>
      </c>
    </row>
    <row r="181" spans="1:6">
      <c r="A181" s="41" t="s">
        <v>90</v>
      </c>
      <c r="B181" s="41"/>
      <c r="C181" s="41"/>
      <c r="D181" s="41"/>
      <c r="E181" s="41"/>
      <c r="F181" s="23">
        <f>SUM(F140:F180)</f>
        <v>8425.7108065873908</v>
      </c>
    </row>
    <row r="182" spans="1:6" ht="15">
      <c r="A182" s="44" t="s">
        <v>104</v>
      </c>
      <c r="B182" s="44"/>
      <c r="C182" s="44"/>
      <c r="D182" s="44"/>
      <c r="E182" s="44"/>
      <c r="F182" s="44"/>
    </row>
    <row r="183" spans="1:6" ht="27.6">
      <c r="A183" s="4">
        <v>1</v>
      </c>
      <c r="B183" s="5" t="s">
        <v>9</v>
      </c>
      <c r="C183" s="6" t="s">
        <v>10</v>
      </c>
      <c r="D183" s="7">
        <v>150</v>
      </c>
      <c r="E183" s="8">
        <v>1.8386889570000002E-2</v>
      </c>
      <c r="F183" s="9">
        <v>2.7580334355000002</v>
      </c>
    </row>
    <row r="184" spans="1:6">
      <c r="A184" s="4">
        <v>2</v>
      </c>
      <c r="B184" s="5" t="s">
        <v>11</v>
      </c>
      <c r="C184" s="6" t="s">
        <v>12</v>
      </c>
      <c r="D184" s="7">
        <f>633*0.8*0.8</f>
        <v>405.12000000000006</v>
      </c>
      <c r="E184" s="8">
        <v>0.67247248114199998</v>
      </c>
      <c r="F184" s="9">
        <v>272.43205156024709</v>
      </c>
    </row>
    <row r="185" spans="1:6">
      <c r="A185" s="4">
        <v>3</v>
      </c>
      <c r="B185" s="5" t="s">
        <v>13</v>
      </c>
      <c r="C185" s="6" t="s">
        <v>12</v>
      </c>
      <c r="D185" s="7">
        <f>(633*0.8*0.7)</f>
        <v>354.48</v>
      </c>
      <c r="E185" s="8">
        <v>0.85893175310460013</v>
      </c>
      <c r="F185" s="9">
        <v>304.47412784051869</v>
      </c>
    </row>
    <row r="186" spans="1:6">
      <c r="A186" s="4">
        <v>4</v>
      </c>
      <c r="B186" s="5" t="s">
        <v>14</v>
      </c>
      <c r="C186" s="6" t="s">
        <v>12</v>
      </c>
      <c r="D186" s="10">
        <f>633*0.6*0.1</f>
        <v>37.980000000000004</v>
      </c>
      <c r="E186" s="8">
        <v>3.7470791820000007</v>
      </c>
      <c r="F186" s="9">
        <v>142.31406733236005</v>
      </c>
    </row>
    <row r="187" spans="1:6" ht="27.6">
      <c r="A187" s="4">
        <v>5</v>
      </c>
      <c r="B187" s="5" t="s">
        <v>15</v>
      </c>
      <c r="C187" s="6" t="s">
        <v>16</v>
      </c>
      <c r="D187" s="10">
        <f>(+D184+D185+D186)-D189-D190</f>
        <v>607.68000000000006</v>
      </c>
      <c r="E187" s="8">
        <v>0.6084083856732001</v>
      </c>
      <c r="F187" s="9">
        <v>369.71760780589028</v>
      </c>
    </row>
    <row r="188" spans="1:6">
      <c r="A188" s="4">
        <v>6</v>
      </c>
      <c r="B188" s="5" t="s">
        <v>17</v>
      </c>
      <c r="C188" s="6" t="s">
        <v>18</v>
      </c>
      <c r="D188" s="10">
        <f>D187*1.8</f>
        <v>1093.8240000000001</v>
      </c>
      <c r="E188" s="8">
        <v>0.3906</v>
      </c>
      <c r="F188" s="9">
        <v>427.24765440000004</v>
      </c>
    </row>
    <row r="189" spans="1:6" ht="27.6">
      <c r="A189" s="4">
        <v>7</v>
      </c>
      <c r="B189" s="5" t="s">
        <v>19</v>
      </c>
      <c r="C189" s="11" t="s">
        <v>20</v>
      </c>
      <c r="D189" s="12">
        <f>633*0.6*0.1</f>
        <v>37.980000000000004</v>
      </c>
      <c r="E189" s="8">
        <v>9.7072004441999997</v>
      </c>
      <c r="F189" s="9">
        <v>368.67947287071604</v>
      </c>
    </row>
    <row r="190" spans="1:6" ht="27.6">
      <c r="A190" s="4">
        <v>8</v>
      </c>
      <c r="B190" s="5" t="s">
        <v>21</v>
      </c>
      <c r="C190" s="11" t="s">
        <v>20</v>
      </c>
      <c r="D190" s="14">
        <f>(D189/0.1)*0.4</f>
        <v>151.92000000000002</v>
      </c>
      <c r="E190" s="8">
        <v>9.7072004441999997</v>
      </c>
      <c r="F190" s="9">
        <v>1474.7178914828642</v>
      </c>
    </row>
    <row r="191" spans="1:6">
      <c r="A191" s="4">
        <v>9</v>
      </c>
      <c r="B191" s="5" t="s">
        <v>22</v>
      </c>
      <c r="C191" s="6" t="s">
        <v>12</v>
      </c>
      <c r="D191" s="7">
        <f>D192</f>
        <v>607.68000000000006</v>
      </c>
      <c r="E191" s="8">
        <v>0.35379955199399998</v>
      </c>
      <c r="F191" s="9">
        <v>214.99691175571394</v>
      </c>
    </row>
    <row r="192" spans="1:6" ht="27.6">
      <c r="A192" s="4">
        <v>10</v>
      </c>
      <c r="B192" s="5" t="s">
        <v>23</v>
      </c>
      <c r="C192" s="6" t="s">
        <v>12</v>
      </c>
      <c r="D192" s="7">
        <f>D187</f>
        <v>607.68000000000006</v>
      </c>
      <c r="E192" s="8">
        <v>0.42407832990600003</v>
      </c>
      <c r="F192" s="9">
        <v>257.70391951727811</v>
      </c>
    </row>
    <row r="193" spans="1:6">
      <c r="A193" s="4">
        <v>11</v>
      </c>
      <c r="B193" s="13" t="s">
        <v>24</v>
      </c>
      <c r="C193" s="11" t="s">
        <v>25</v>
      </c>
      <c r="D193" s="14">
        <v>20</v>
      </c>
      <c r="E193" s="8">
        <v>0.69544420590959999</v>
      </c>
      <c r="F193" s="9">
        <v>13.908884118191999</v>
      </c>
    </row>
    <row r="194" spans="1:6" ht="27.6">
      <c r="A194" s="4">
        <v>12</v>
      </c>
      <c r="B194" s="13" t="s">
        <v>26</v>
      </c>
      <c r="C194" s="11" t="s">
        <v>27</v>
      </c>
      <c r="D194" s="12">
        <v>25</v>
      </c>
      <c r="E194" s="8">
        <v>5.7435695971331988</v>
      </c>
      <c r="F194" s="9">
        <v>143.58923992832996</v>
      </c>
    </row>
    <row r="195" spans="1:6" ht="15.6">
      <c r="A195" s="4">
        <v>13</v>
      </c>
      <c r="B195" s="13" t="s">
        <v>28</v>
      </c>
      <c r="C195" s="11" t="s">
        <v>27</v>
      </c>
      <c r="D195" s="12">
        <v>25</v>
      </c>
      <c r="E195" s="8">
        <v>4.0653740936759997</v>
      </c>
      <c r="F195" s="9">
        <v>101.6343523419</v>
      </c>
    </row>
    <row r="196" spans="1:6">
      <c r="A196" s="4">
        <v>14</v>
      </c>
      <c r="B196" s="5" t="s">
        <v>29</v>
      </c>
      <c r="C196" s="6" t="s">
        <v>30</v>
      </c>
      <c r="D196" s="15">
        <v>280</v>
      </c>
      <c r="E196" s="8">
        <v>1.7573702544384</v>
      </c>
      <c r="F196" s="9">
        <v>492.06367124275198</v>
      </c>
    </row>
    <row r="197" spans="1:6" ht="27.6">
      <c r="A197" s="4">
        <v>15</v>
      </c>
      <c r="B197" s="13" t="s">
        <v>92</v>
      </c>
      <c r="C197" s="11" t="s">
        <v>32</v>
      </c>
      <c r="D197" s="14">
        <v>633</v>
      </c>
      <c r="E197" s="8">
        <v>3.1708238772000006</v>
      </c>
      <c r="F197" s="9">
        <v>2007.1315142676003</v>
      </c>
    </row>
    <row r="198" spans="1:6" ht="27.6">
      <c r="A198" s="4">
        <v>16</v>
      </c>
      <c r="B198" s="5" t="s">
        <v>102</v>
      </c>
      <c r="C198" s="6" t="s">
        <v>34</v>
      </c>
      <c r="D198" s="10">
        <v>0.1</v>
      </c>
      <c r="E198" s="8">
        <v>570.53037147960003</v>
      </c>
      <c r="F198" s="9">
        <v>57.053037147960005</v>
      </c>
    </row>
    <row r="199" spans="1:6" ht="15.6">
      <c r="A199" s="4">
        <v>17</v>
      </c>
      <c r="B199" s="19" t="s">
        <v>58</v>
      </c>
      <c r="C199" s="11" t="s">
        <v>20</v>
      </c>
      <c r="D199" s="12">
        <v>0.8</v>
      </c>
      <c r="E199" s="8">
        <v>10.678178297639999</v>
      </c>
      <c r="F199" s="9">
        <v>8.5425426381119998</v>
      </c>
    </row>
    <row r="200" spans="1:6">
      <c r="A200" s="4">
        <v>18</v>
      </c>
      <c r="B200" s="5" t="s">
        <v>59</v>
      </c>
      <c r="C200" s="6" t="s">
        <v>12</v>
      </c>
      <c r="D200" s="10">
        <v>0.8</v>
      </c>
      <c r="E200" s="8">
        <v>43.763472864720008</v>
      </c>
      <c r="F200" s="9">
        <v>35.010778291776006</v>
      </c>
    </row>
    <row r="201" spans="1:6">
      <c r="A201" s="4">
        <v>19</v>
      </c>
      <c r="B201" s="5" t="s">
        <v>93</v>
      </c>
      <c r="C201" s="6" t="s">
        <v>61</v>
      </c>
      <c r="D201" s="15">
        <v>1</v>
      </c>
      <c r="E201" s="8">
        <v>1414.752649884168</v>
      </c>
      <c r="F201" s="9">
        <v>1414.752649884168</v>
      </c>
    </row>
    <row r="202" spans="1:6">
      <c r="A202" s="4">
        <v>20</v>
      </c>
      <c r="B202" s="5" t="s">
        <v>105</v>
      </c>
      <c r="C202" s="6" t="s">
        <v>39</v>
      </c>
      <c r="D202" s="7">
        <v>20</v>
      </c>
      <c r="E202" s="8">
        <v>8.2199177718000005</v>
      </c>
      <c r="F202" s="9">
        <v>164.398355436</v>
      </c>
    </row>
    <row r="203" spans="1:6">
      <c r="A203" s="4">
        <v>21</v>
      </c>
      <c r="B203" s="5" t="s">
        <v>106</v>
      </c>
      <c r="C203" s="6" t="s">
        <v>39</v>
      </c>
      <c r="D203" s="7">
        <v>20</v>
      </c>
      <c r="E203" s="8">
        <v>7.56754202652</v>
      </c>
      <c r="F203" s="9">
        <v>151.35084053040001</v>
      </c>
    </row>
    <row r="204" spans="1:6">
      <c r="A204" s="4">
        <v>22</v>
      </c>
      <c r="B204" s="5" t="s">
        <v>107</v>
      </c>
      <c r="C204" s="6" t="s">
        <v>18</v>
      </c>
      <c r="D204" s="17">
        <f>0.004*2+0.005*2+0.0045*2</f>
        <v>2.7000000000000003E-2</v>
      </c>
      <c r="E204" s="8">
        <v>1871.05927232</v>
      </c>
      <c r="F204" s="9">
        <v>50.518600352640007</v>
      </c>
    </row>
    <row r="205" spans="1:6" ht="27.6">
      <c r="A205" s="4">
        <v>23</v>
      </c>
      <c r="B205" s="5" t="s">
        <v>108</v>
      </c>
      <c r="C205" s="6" t="s">
        <v>39</v>
      </c>
      <c r="D205" s="7">
        <v>2.8</v>
      </c>
      <c r="E205" s="8">
        <v>8.2199177718000005</v>
      </c>
      <c r="F205" s="9">
        <v>23.015769761040001</v>
      </c>
    </row>
    <row r="206" spans="1:6">
      <c r="A206" s="4">
        <v>24</v>
      </c>
      <c r="B206" s="13" t="s">
        <v>72</v>
      </c>
      <c r="C206" s="11" t="s">
        <v>32</v>
      </c>
      <c r="D206" s="14">
        <v>5.4</v>
      </c>
      <c r="E206" s="8">
        <v>3.2011669351200003</v>
      </c>
      <c r="F206" s="9">
        <v>17.286301449648004</v>
      </c>
    </row>
    <row r="207" spans="1:6" ht="27.6">
      <c r="A207" s="4">
        <v>25</v>
      </c>
      <c r="B207" s="5" t="s">
        <v>94</v>
      </c>
      <c r="C207" s="6" t="s">
        <v>34</v>
      </c>
      <c r="D207" s="10">
        <v>0.2</v>
      </c>
      <c r="E207" s="8">
        <v>83.524291863599998</v>
      </c>
      <c r="F207" s="9">
        <v>16.70485837272</v>
      </c>
    </row>
    <row r="208" spans="1:6" ht="27.6">
      <c r="A208" s="4">
        <v>26</v>
      </c>
      <c r="B208" s="13" t="s">
        <v>109</v>
      </c>
      <c r="C208" s="11" t="s">
        <v>36</v>
      </c>
      <c r="D208" s="16">
        <v>4</v>
      </c>
      <c r="E208" s="8">
        <v>16.575397882680001</v>
      </c>
      <c r="F208" s="9">
        <v>66.301591530720003</v>
      </c>
    </row>
    <row r="209" spans="1:6">
      <c r="A209" s="4">
        <v>27</v>
      </c>
      <c r="B209" s="5" t="s">
        <v>96</v>
      </c>
      <c r="C209" s="6" t="s">
        <v>36</v>
      </c>
      <c r="D209" s="15">
        <v>1</v>
      </c>
      <c r="E209" s="8">
        <v>66.367893198600015</v>
      </c>
      <c r="F209" s="9">
        <v>66.367893198600015</v>
      </c>
    </row>
    <row r="210" spans="1:6" ht="27.6">
      <c r="A210" s="4">
        <v>28</v>
      </c>
      <c r="B210" s="5" t="s">
        <v>97</v>
      </c>
      <c r="C210" s="6" t="s">
        <v>18</v>
      </c>
      <c r="D210" s="17">
        <f>0.005*3</f>
        <v>1.4999999999999999E-2</v>
      </c>
      <c r="E210" s="8">
        <v>2890.0241099519999</v>
      </c>
      <c r="F210" s="9">
        <v>43.350361649279996</v>
      </c>
    </row>
    <row r="211" spans="1:6">
      <c r="A211" s="4">
        <v>29</v>
      </c>
      <c r="B211" s="5" t="s">
        <v>42</v>
      </c>
      <c r="C211" s="6" t="s">
        <v>43</v>
      </c>
      <c r="D211" s="7">
        <v>10</v>
      </c>
      <c r="E211" s="8">
        <v>2.3711578195200005</v>
      </c>
      <c r="F211" s="9">
        <v>23.711578195200005</v>
      </c>
    </row>
    <row r="212" spans="1:6" ht="27.6">
      <c r="A212" s="4">
        <v>30</v>
      </c>
      <c r="B212" s="5" t="s">
        <v>98</v>
      </c>
      <c r="C212" s="6" t="s">
        <v>39</v>
      </c>
      <c r="D212" s="7">
        <v>8</v>
      </c>
      <c r="E212" s="8">
        <v>11.079159405022644</v>
      </c>
      <c r="F212" s="9">
        <v>88.633275240181149</v>
      </c>
    </row>
    <row r="213" spans="1:6">
      <c r="A213" s="4">
        <v>31</v>
      </c>
      <c r="B213" s="5" t="s">
        <v>99</v>
      </c>
      <c r="C213" s="6" t="s">
        <v>47</v>
      </c>
      <c r="D213" s="15">
        <v>2</v>
      </c>
      <c r="E213" s="8">
        <v>12.63228935934</v>
      </c>
      <c r="F213" s="9">
        <v>25.264578718679999</v>
      </c>
    </row>
    <row r="214" spans="1:6" ht="27.6">
      <c r="A214" s="4">
        <v>32</v>
      </c>
      <c r="B214" s="5" t="s">
        <v>48</v>
      </c>
      <c r="C214" s="6" t="s">
        <v>47</v>
      </c>
      <c r="D214" s="7">
        <v>10</v>
      </c>
      <c r="E214" s="8">
        <v>12.63228935934</v>
      </c>
      <c r="F214" s="9">
        <v>126.3228935934</v>
      </c>
    </row>
    <row r="215" spans="1:6">
      <c r="A215" s="4">
        <v>33</v>
      </c>
      <c r="B215" s="5" t="s">
        <v>49</v>
      </c>
      <c r="C215" s="6" t="s">
        <v>16</v>
      </c>
      <c r="D215" s="10">
        <v>1.5</v>
      </c>
      <c r="E215" s="8">
        <v>52.413716922000006</v>
      </c>
      <c r="F215" s="9">
        <v>78.620575383000016</v>
      </c>
    </row>
    <row r="216" spans="1:6">
      <c r="A216" s="4">
        <v>34</v>
      </c>
      <c r="B216" s="5" t="s">
        <v>50</v>
      </c>
      <c r="C216" s="6" t="s">
        <v>39</v>
      </c>
      <c r="D216" s="7">
        <v>10.4</v>
      </c>
      <c r="E216" s="8">
        <v>7.56754202652</v>
      </c>
      <c r="F216" s="9">
        <v>78.702437075808007</v>
      </c>
    </row>
    <row r="217" spans="1:6">
      <c r="A217" s="4">
        <v>35</v>
      </c>
      <c r="B217" s="5" t="s">
        <v>51</v>
      </c>
      <c r="C217" s="6" t="s">
        <v>18</v>
      </c>
      <c r="D217" s="17">
        <v>1.4999999999999999E-2</v>
      </c>
      <c r="E217" s="8">
        <v>772.77154232040004</v>
      </c>
      <c r="F217" s="9">
        <v>11.591573134806</v>
      </c>
    </row>
    <row r="218" spans="1:6">
      <c r="A218" s="4">
        <v>36</v>
      </c>
      <c r="B218" s="5" t="s">
        <v>84</v>
      </c>
      <c r="C218" s="6" t="s">
        <v>16</v>
      </c>
      <c r="D218" s="10">
        <v>0.09</v>
      </c>
      <c r="E218" s="8">
        <v>50.092472991120005</v>
      </c>
      <c r="F218" s="9">
        <v>4.5083225692008</v>
      </c>
    </row>
    <row r="219" spans="1:6">
      <c r="A219" s="4">
        <v>37</v>
      </c>
      <c r="B219" s="5" t="s">
        <v>52</v>
      </c>
      <c r="C219" s="6" t="s">
        <v>39</v>
      </c>
      <c r="D219" s="7">
        <v>633</v>
      </c>
      <c r="E219" s="8">
        <v>0.101511781476</v>
      </c>
      <c r="F219" s="9">
        <v>64.256957674307998</v>
      </c>
    </row>
    <row r="220" spans="1:6">
      <c r="A220" s="4">
        <v>38</v>
      </c>
      <c r="B220" s="5" t="s">
        <v>53</v>
      </c>
      <c r="C220" s="6" t="s">
        <v>39</v>
      </c>
      <c r="D220" s="7">
        <v>633</v>
      </c>
      <c r="E220" s="8">
        <v>0.68128712400000002</v>
      </c>
      <c r="F220" s="9">
        <v>431.25474949200003</v>
      </c>
    </row>
    <row r="221" spans="1:6" ht="27" customHeight="1">
      <c r="A221" s="4">
        <v>39</v>
      </c>
      <c r="B221" s="13" t="s">
        <v>56</v>
      </c>
      <c r="C221" s="11" t="s">
        <v>25</v>
      </c>
      <c r="D221" s="14">
        <v>633</v>
      </c>
      <c r="E221" s="8">
        <v>0.12137223168000003</v>
      </c>
      <c r="F221" s="9">
        <v>76.828622653440021</v>
      </c>
    </row>
    <row r="222" spans="1:6">
      <c r="A222" s="4">
        <v>40</v>
      </c>
      <c r="B222" s="5" t="s">
        <v>57</v>
      </c>
      <c r="C222" s="18" t="s">
        <v>47</v>
      </c>
      <c r="D222" s="16">
        <v>1</v>
      </c>
      <c r="E222" s="8">
        <v>23.2783319664</v>
      </c>
      <c r="F222" s="9">
        <v>23.2783319664</v>
      </c>
    </row>
    <row r="223" spans="1:6">
      <c r="A223" s="4">
        <v>41</v>
      </c>
      <c r="B223" s="5" t="s">
        <v>13</v>
      </c>
      <c r="C223" s="6" t="s">
        <v>12</v>
      </c>
      <c r="D223" s="7">
        <v>2.2000000000000002</v>
      </c>
      <c r="E223" s="8">
        <v>0.85893175310460013</v>
      </c>
      <c r="F223" s="9">
        <v>1.8896498568301203</v>
      </c>
    </row>
    <row r="224" spans="1:6" ht="27.6">
      <c r="A224" s="4">
        <v>42</v>
      </c>
      <c r="B224" s="5" t="s">
        <v>15</v>
      </c>
      <c r="C224" s="6" t="s">
        <v>16</v>
      </c>
      <c r="D224" s="10">
        <v>2.2000000000000002</v>
      </c>
      <c r="E224" s="8">
        <v>0.6084083856732001</v>
      </c>
      <c r="F224" s="9">
        <v>1.3384984484810403</v>
      </c>
    </row>
    <row r="225" spans="1:6">
      <c r="A225" s="4">
        <v>43</v>
      </c>
      <c r="B225" s="5" t="s">
        <v>17</v>
      </c>
      <c r="C225" s="6" t="s">
        <v>18</v>
      </c>
      <c r="D225" s="10">
        <v>2.6</v>
      </c>
      <c r="E225" s="8">
        <v>0.3906</v>
      </c>
      <c r="F225" s="9">
        <v>1.01556</v>
      </c>
    </row>
    <row r="226" spans="1:6">
      <c r="A226" s="4">
        <v>44</v>
      </c>
      <c r="B226" s="5" t="s">
        <v>62</v>
      </c>
      <c r="C226" s="6" t="s">
        <v>12</v>
      </c>
      <c r="D226" s="10">
        <v>0.04</v>
      </c>
      <c r="E226" s="8">
        <v>52.413716922000006</v>
      </c>
      <c r="F226" s="9">
        <v>2.0965486768800004</v>
      </c>
    </row>
    <row r="227" spans="1:6" ht="27.6">
      <c r="A227" s="4">
        <v>45</v>
      </c>
      <c r="B227" s="5" t="s">
        <v>63</v>
      </c>
      <c r="C227" s="20" t="s">
        <v>64</v>
      </c>
      <c r="D227" s="15">
        <v>4</v>
      </c>
      <c r="E227" s="8">
        <v>16.514499879359999</v>
      </c>
      <c r="F227" s="9">
        <v>66.057999517439995</v>
      </c>
    </row>
    <row r="228" spans="1:6" ht="27.6">
      <c r="A228" s="4">
        <v>46</v>
      </c>
      <c r="B228" s="5" t="s">
        <v>54</v>
      </c>
      <c r="C228" s="6" t="s">
        <v>55</v>
      </c>
      <c r="D228" s="7">
        <v>43</v>
      </c>
      <c r="E228" s="8">
        <v>1.3839543900000004</v>
      </c>
      <c r="F228" s="9">
        <v>59.510038770000016</v>
      </c>
    </row>
    <row r="229" spans="1:6">
      <c r="A229" s="4">
        <v>47</v>
      </c>
      <c r="B229" s="5" t="s">
        <v>65</v>
      </c>
      <c r="C229" s="6" t="s">
        <v>66</v>
      </c>
      <c r="D229" s="10">
        <f>0.05+0.05+0.2</f>
        <v>0.30000000000000004</v>
      </c>
      <c r="E229" s="8">
        <v>134.73352988239202</v>
      </c>
      <c r="F229" s="9">
        <v>40.420058964717612</v>
      </c>
    </row>
    <row r="230" spans="1:6">
      <c r="A230" s="4">
        <v>48</v>
      </c>
      <c r="B230" s="21" t="s">
        <v>67</v>
      </c>
      <c r="C230" s="6" t="s">
        <v>47</v>
      </c>
      <c r="D230" s="15">
        <v>1</v>
      </c>
      <c r="E230" s="8">
        <v>13.02</v>
      </c>
      <c r="F230" s="9">
        <v>13.02</v>
      </c>
    </row>
    <row r="231" spans="1:6">
      <c r="A231" s="4">
        <v>49</v>
      </c>
      <c r="B231" s="5" t="s">
        <v>68</v>
      </c>
      <c r="C231" s="6" t="s">
        <v>69</v>
      </c>
      <c r="D231" s="10">
        <v>6.8</v>
      </c>
      <c r="E231" s="8">
        <v>73.351735291207802</v>
      </c>
      <c r="F231" s="9">
        <v>498.79179998021306</v>
      </c>
    </row>
    <row r="232" spans="1:6">
      <c r="A232" s="41" t="s">
        <v>90</v>
      </c>
      <c r="B232" s="41"/>
      <c r="C232" s="41"/>
      <c r="D232" s="41"/>
      <c r="E232" s="41"/>
      <c r="F232" s="23">
        <f>SUM(F183:F231)</f>
        <v>10425.137030053913</v>
      </c>
    </row>
    <row r="233" spans="1:6" ht="15">
      <c r="A233" s="44" t="s">
        <v>110</v>
      </c>
      <c r="B233" s="44"/>
      <c r="C233" s="44"/>
      <c r="D233" s="44"/>
      <c r="E233" s="44"/>
      <c r="F233" s="44"/>
    </row>
    <row r="234" spans="1:6" ht="27.6">
      <c r="A234" s="4">
        <v>1</v>
      </c>
      <c r="B234" s="5" t="s">
        <v>9</v>
      </c>
      <c r="C234" s="6" t="s">
        <v>10</v>
      </c>
      <c r="D234" s="7">
        <v>150</v>
      </c>
      <c r="E234" s="8">
        <v>1.8386889570000002E-2</v>
      </c>
      <c r="F234" s="9">
        <v>2.7580334355000002</v>
      </c>
    </row>
    <row r="235" spans="1:6">
      <c r="A235" s="4">
        <v>2</v>
      </c>
      <c r="B235" s="5" t="s">
        <v>11</v>
      </c>
      <c r="C235" s="6" t="s">
        <v>12</v>
      </c>
      <c r="D235" s="7">
        <f>165*0.8*0.8</f>
        <v>105.60000000000001</v>
      </c>
      <c r="E235" s="8">
        <v>0.67247248114199998</v>
      </c>
      <c r="F235" s="9">
        <v>71.013094008595203</v>
      </c>
    </row>
    <row r="236" spans="1:6">
      <c r="A236" s="4">
        <v>3</v>
      </c>
      <c r="B236" s="5" t="s">
        <v>13</v>
      </c>
      <c r="C236" s="6" t="s">
        <v>12</v>
      </c>
      <c r="D236" s="7">
        <f>(165*0.8*0.7)</f>
        <v>92.399999999999991</v>
      </c>
      <c r="E236" s="8">
        <v>0.85893175310460013</v>
      </c>
      <c r="F236" s="9">
        <v>79.365293986865041</v>
      </c>
    </row>
    <row r="237" spans="1:6">
      <c r="A237" s="4">
        <v>4</v>
      </c>
      <c r="B237" s="5" t="s">
        <v>14</v>
      </c>
      <c r="C237" s="6" t="s">
        <v>12</v>
      </c>
      <c r="D237" s="10">
        <f>165*0.6*0.1</f>
        <v>9.9</v>
      </c>
      <c r="E237" s="8">
        <v>3.7470791820000007</v>
      </c>
      <c r="F237" s="9">
        <v>37.096083901800007</v>
      </c>
    </row>
    <row r="238" spans="1:6" ht="27.6">
      <c r="A238" s="4">
        <v>5</v>
      </c>
      <c r="B238" s="5" t="s">
        <v>15</v>
      </c>
      <c r="C238" s="6" t="s">
        <v>16</v>
      </c>
      <c r="D238" s="10">
        <f>(+D235+D236+D237)-D240-D241</f>
        <v>158.4</v>
      </c>
      <c r="E238" s="8">
        <v>0.6084083856732001</v>
      </c>
      <c r="F238" s="9">
        <v>96.371888290634899</v>
      </c>
    </row>
    <row r="239" spans="1:6">
      <c r="A239" s="4">
        <v>6</v>
      </c>
      <c r="B239" s="5" t="s">
        <v>17</v>
      </c>
      <c r="C239" s="6" t="s">
        <v>18</v>
      </c>
      <c r="D239" s="10">
        <f>D238*1.8</f>
        <v>285.12</v>
      </c>
      <c r="E239" s="8">
        <v>0.3906</v>
      </c>
      <c r="F239" s="9">
        <v>111.36787200000001</v>
      </c>
    </row>
    <row r="240" spans="1:6" ht="27.6">
      <c r="A240" s="4">
        <v>7</v>
      </c>
      <c r="B240" s="5" t="s">
        <v>19</v>
      </c>
      <c r="C240" s="11" t="s">
        <v>20</v>
      </c>
      <c r="D240" s="12">
        <f>165*0.6*0.1</f>
        <v>9.9</v>
      </c>
      <c r="E240" s="8">
        <v>9.7072004441999997</v>
      </c>
      <c r="F240" s="9">
        <v>96.101284397580002</v>
      </c>
    </row>
    <row r="241" spans="1:6" ht="27.6">
      <c r="A241" s="4">
        <v>8</v>
      </c>
      <c r="B241" s="5" t="s">
        <v>21</v>
      </c>
      <c r="C241" s="11" t="s">
        <v>20</v>
      </c>
      <c r="D241" s="14">
        <f>(D240/0.1)*0.4</f>
        <v>39.6</v>
      </c>
      <c r="E241" s="8">
        <v>9.7072004441999997</v>
      </c>
      <c r="F241" s="9">
        <v>384.40513759032001</v>
      </c>
    </row>
    <row r="242" spans="1:6">
      <c r="A242" s="4">
        <v>9</v>
      </c>
      <c r="B242" s="5" t="s">
        <v>22</v>
      </c>
      <c r="C242" s="6" t="s">
        <v>12</v>
      </c>
      <c r="D242" s="7">
        <f>D243</f>
        <v>158.4</v>
      </c>
      <c r="E242" s="8">
        <v>0.35379955199399998</v>
      </c>
      <c r="F242" s="9">
        <v>56.041849035849602</v>
      </c>
    </row>
    <row r="243" spans="1:6" ht="27.6">
      <c r="A243" s="4">
        <v>10</v>
      </c>
      <c r="B243" s="5" t="s">
        <v>23</v>
      </c>
      <c r="C243" s="6" t="s">
        <v>12</v>
      </c>
      <c r="D243" s="7">
        <f>D238</f>
        <v>158.4</v>
      </c>
      <c r="E243" s="8">
        <v>0.42407832990600003</v>
      </c>
      <c r="F243" s="9">
        <v>67.174007457110406</v>
      </c>
    </row>
    <row r="244" spans="1:6">
      <c r="A244" s="4">
        <v>11</v>
      </c>
      <c r="B244" s="13" t="s">
        <v>24</v>
      </c>
      <c r="C244" s="11" t="s">
        <v>25</v>
      </c>
      <c r="D244" s="14">
        <v>10</v>
      </c>
      <c r="E244" s="8">
        <v>0.69544420590959999</v>
      </c>
      <c r="F244" s="9">
        <v>6.9544420590959994</v>
      </c>
    </row>
    <row r="245" spans="1:6" ht="27.6">
      <c r="A245" s="4">
        <v>12</v>
      </c>
      <c r="B245" s="13" t="s">
        <v>26</v>
      </c>
      <c r="C245" s="11" t="s">
        <v>27</v>
      </c>
      <c r="D245" s="12">
        <v>10</v>
      </c>
      <c r="E245" s="8">
        <v>5.7435695971331988</v>
      </c>
      <c r="F245" s="9">
        <v>57.435695971331988</v>
      </c>
    </row>
    <row r="246" spans="1:6" ht="15.6">
      <c r="A246" s="4">
        <v>13</v>
      </c>
      <c r="B246" s="13" t="s">
        <v>28</v>
      </c>
      <c r="C246" s="11" t="s">
        <v>27</v>
      </c>
      <c r="D246" s="12">
        <v>10</v>
      </c>
      <c r="E246" s="8">
        <v>4.0653740936759997</v>
      </c>
      <c r="F246" s="9">
        <v>40.653740936759995</v>
      </c>
    </row>
    <row r="247" spans="1:6">
      <c r="A247" s="4">
        <v>14</v>
      </c>
      <c r="B247" s="5" t="s">
        <v>29</v>
      </c>
      <c r="C247" s="6" t="s">
        <v>30</v>
      </c>
      <c r="D247" s="15">
        <v>150</v>
      </c>
      <c r="E247" s="8">
        <v>1.7573702544384</v>
      </c>
      <c r="F247" s="9">
        <v>263.60553816575998</v>
      </c>
    </row>
    <row r="248" spans="1:6" ht="27.6">
      <c r="A248" s="4">
        <v>15</v>
      </c>
      <c r="B248" s="13" t="s">
        <v>92</v>
      </c>
      <c r="C248" s="11" t="s">
        <v>32</v>
      </c>
      <c r="D248" s="14">
        <v>166</v>
      </c>
      <c r="E248" s="8">
        <v>3.1708238772000006</v>
      </c>
      <c r="F248" s="9">
        <v>526.35676361520007</v>
      </c>
    </row>
    <row r="249" spans="1:6" ht="27.6">
      <c r="A249" s="4">
        <v>16</v>
      </c>
      <c r="B249" s="5" t="s">
        <v>102</v>
      </c>
      <c r="C249" s="6" t="s">
        <v>34</v>
      </c>
      <c r="D249" s="10">
        <v>0.1</v>
      </c>
      <c r="E249" s="8">
        <v>570.53037147960003</v>
      </c>
      <c r="F249" s="9">
        <v>57.053037147960005</v>
      </c>
    </row>
    <row r="250" spans="1:6" ht="15.6">
      <c r="A250" s="4">
        <v>17</v>
      </c>
      <c r="B250" s="19" t="s">
        <v>58</v>
      </c>
      <c r="C250" s="11" t="s">
        <v>20</v>
      </c>
      <c r="D250" s="12">
        <v>0.8</v>
      </c>
      <c r="E250" s="8">
        <v>10.678178297639999</v>
      </c>
      <c r="F250" s="9">
        <v>8.5425426381119998</v>
      </c>
    </row>
    <row r="251" spans="1:6">
      <c r="A251" s="4">
        <v>18</v>
      </c>
      <c r="B251" s="5" t="s">
        <v>59</v>
      </c>
      <c r="C251" s="6" t="s">
        <v>12</v>
      </c>
      <c r="D251" s="10">
        <v>0.8</v>
      </c>
      <c r="E251" s="8">
        <v>43.763472864720008</v>
      </c>
      <c r="F251" s="9">
        <v>35.010778291776006</v>
      </c>
    </row>
    <row r="252" spans="1:6">
      <c r="A252" s="4">
        <v>19</v>
      </c>
      <c r="B252" s="5" t="s">
        <v>93</v>
      </c>
      <c r="C252" s="6" t="s">
        <v>61</v>
      </c>
      <c r="D252" s="15">
        <v>1</v>
      </c>
      <c r="E252" s="8">
        <v>1414.752649884168</v>
      </c>
      <c r="F252" s="9">
        <v>1414.752649884168</v>
      </c>
    </row>
    <row r="253" spans="1:6">
      <c r="A253" s="4">
        <v>20</v>
      </c>
      <c r="B253" s="13" t="s">
        <v>72</v>
      </c>
      <c r="C253" s="11" t="s">
        <v>32</v>
      </c>
      <c r="D253" s="14">
        <v>5.4</v>
      </c>
      <c r="E253" s="8">
        <v>3.2011669351200003</v>
      </c>
      <c r="F253" s="9">
        <v>17.286301449648004</v>
      </c>
    </row>
    <row r="254" spans="1:6" ht="27.6">
      <c r="A254" s="4">
        <v>21</v>
      </c>
      <c r="B254" s="5" t="s">
        <v>94</v>
      </c>
      <c r="C254" s="6" t="s">
        <v>34</v>
      </c>
      <c r="D254" s="10">
        <v>0.2</v>
      </c>
      <c r="E254" s="8">
        <v>83.524291863599998</v>
      </c>
      <c r="F254" s="9">
        <v>16.70485837272</v>
      </c>
    </row>
    <row r="255" spans="1:6" ht="27.6">
      <c r="A255" s="4">
        <v>22</v>
      </c>
      <c r="B255" s="13" t="s">
        <v>109</v>
      </c>
      <c r="C255" s="11" t="s">
        <v>36</v>
      </c>
      <c r="D255" s="16">
        <v>4</v>
      </c>
      <c r="E255" s="8">
        <v>16.575397882680001</v>
      </c>
      <c r="F255" s="9">
        <v>66.301591530720003</v>
      </c>
    </row>
    <row r="256" spans="1:6">
      <c r="A256" s="4">
        <v>23</v>
      </c>
      <c r="B256" s="5" t="s">
        <v>111</v>
      </c>
      <c r="C256" s="6" t="s">
        <v>36</v>
      </c>
      <c r="D256" s="15">
        <v>1</v>
      </c>
      <c r="E256" s="8">
        <v>66.367893198600015</v>
      </c>
      <c r="F256" s="9">
        <v>66.367893198600015</v>
      </c>
    </row>
    <row r="257" spans="1:6" ht="27.6">
      <c r="A257" s="4">
        <v>24</v>
      </c>
      <c r="B257" s="5" t="s">
        <v>97</v>
      </c>
      <c r="C257" s="6" t="s">
        <v>18</v>
      </c>
      <c r="D257" s="17">
        <f>0.005*3</f>
        <v>1.4999999999999999E-2</v>
      </c>
      <c r="E257" s="8">
        <v>2890.0241099519999</v>
      </c>
      <c r="F257" s="9">
        <v>43.350361649279996</v>
      </c>
    </row>
    <row r="258" spans="1:6" ht="27.6">
      <c r="A258" s="4">
        <v>25</v>
      </c>
      <c r="B258" s="5" t="s">
        <v>112</v>
      </c>
      <c r="C258" s="6" t="s">
        <v>39</v>
      </c>
      <c r="D258" s="7">
        <v>10</v>
      </c>
      <c r="E258" s="8">
        <v>11.079159405022644</v>
      </c>
      <c r="F258" s="9">
        <v>110.79159405022644</v>
      </c>
    </row>
    <row r="259" spans="1:6">
      <c r="A259" s="4">
        <v>26</v>
      </c>
      <c r="B259" s="5" t="s">
        <v>99</v>
      </c>
      <c r="C259" s="6" t="s">
        <v>47</v>
      </c>
      <c r="D259" s="15">
        <v>4</v>
      </c>
      <c r="E259" s="8">
        <v>12.63228935934</v>
      </c>
      <c r="F259" s="9">
        <v>50.529157437359999</v>
      </c>
    </row>
    <row r="260" spans="1:6">
      <c r="A260" s="4">
        <v>27</v>
      </c>
      <c r="B260" s="5" t="s">
        <v>51</v>
      </c>
      <c r="C260" s="6" t="s">
        <v>18</v>
      </c>
      <c r="D260" s="17">
        <v>0.01</v>
      </c>
      <c r="E260" s="8">
        <v>772.77154232040004</v>
      </c>
      <c r="F260" s="9">
        <v>7.7277154232040006</v>
      </c>
    </row>
    <row r="261" spans="1:6">
      <c r="A261" s="4">
        <v>28</v>
      </c>
      <c r="B261" s="5" t="s">
        <v>84</v>
      </c>
      <c r="C261" s="6" t="s">
        <v>16</v>
      </c>
      <c r="D261" s="10">
        <v>0.09</v>
      </c>
      <c r="E261" s="8">
        <v>50.092472991120005</v>
      </c>
      <c r="F261" s="9">
        <v>4.5083225692008</v>
      </c>
    </row>
    <row r="262" spans="1:6">
      <c r="A262" s="4">
        <v>29</v>
      </c>
      <c r="B262" s="5" t="s">
        <v>52</v>
      </c>
      <c r="C262" s="6" t="s">
        <v>39</v>
      </c>
      <c r="D262" s="7">
        <v>165</v>
      </c>
      <c r="E262" s="8">
        <v>0.101511781476</v>
      </c>
      <c r="F262" s="9">
        <v>16.749443943540001</v>
      </c>
    </row>
    <row r="263" spans="1:6">
      <c r="A263" s="4">
        <v>30</v>
      </c>
      <c r="B263" s="5" t="s">
        <v>53</v>
      </c>
      <c r="C263" s="6" t="s">
        <v>39</v>
      </c>
      <c r="D263" s="7">
        <v>165</v>
      </c>
      <c r="E263" s="8">
        <v>0.68128712400000002</v>
      </c>
      <c r="F263" s="9">
        <v>112.41237546000001</v>
      </c>
    </row>
    <row r="264" spans="1:6" ht="27.6">
      <c r="A264" s="4">
        <v>31</v>
      </c>
      <c r="B264" s="13" t="s">
        <v>56</v>
      </c>
      <c r="C264" s="11" t="s">
        <v>25</v>
      </c>
      <c r="D264" s="14">
        <v>165</v>
      </c>
      <c r="E264" s="8">
        <v>0.12137223168000003</v>
      </c>
      <c r="F264" s="9">
        <v>20.026418227200004</v>
      </c>
    </row>
    <row r="265" spans="1:6">
      <c r="A265" s="4">
        <v>32</v>
      </c>
      <c r="B265" s="5" t="s">
        <v>57</v>
      </c>
      <c r="C265" s="18" t="s">
        <v>47</v>
      </c>
      <c r="D265" s="16">
        <v>1</v>
      </c>
      <c r="E265" s="8">
        <v>23.2783319664</v>
      </c>
      <c r="F265" s="9">
        <v>23.2783319664</v>
      </c>
    </row>
    <row r="266" spans="1:6">
      <c r="A266" s="4">
        <v>33</v>
      </c>
      <c r="B266" s="5" t="s">
        <v>13</v>
      </c>
      <c r="C266" s="6" t="s">
        <v>12</v>
      </c>
      <c r="D266" s="7">
        <v>2.2000000000000002</v>
      </c>
      <c r="E266" s="8">
        <v>0.85893175310460013</v>
      </c>
      <c r="F266" s="9">
        <v>1.8896498568301203</v>
      </c>
    </row>
    <row r="267" spans="1:6" ht="27.6">
      <c r="A267" s="4">
        <v>34</v>
      </c>
      <c r="B267" s="5" t="s">
        <v>15</v>
      </c>
      <c r="C267" s="6" t="s">
        <v>16</v>
      </c>
      <c r="D267" s="10">
        <v>2.2000000000000002</v>
      </c>
      <c r="E267" s="8">
        <v>0.6084083856732001</v>
      </c>
      <c r="F267" s="9">
        <v>1.3384984484810403</v>
      </c>
    </row>
    <row r="268" spans="1:6">
      <c r="A268" s="4">
        <v>35</v>
      </c>
      <c r="B268" s="5" t="s">
        <v>17</v>
      </c>
      <c r="C268" s="6" t="s">
        <v>18</v>
      </c>
      <c r="D268" s="10">
        <v>2.6</v>
      </c>
      <c r="E268" s="8">
        <v>0.3906</v>
      </c>
      <c r="F268" s="9">
        <v>1.01556</v>
      </c>
    </row>
    <row r="269" spans="1:6">
      <c r="A269" s="4">
        <v>36</v>
      </c>
      <c r="B269" s="5" t="s">
        <v>62</v>
      </c>
      <c r="C269" s="6" t="s">
        <v>12</v>
      </c>
      <c r="D269" s="10">
        <v>0.04</v>
      </c>
      <c r="E269" s="8">
        <v>52.413716922000006</v>
      </c>
      <c r="F269" s="9">
        <v>2.0965486768800004</v>
      </c>
    </row>
    <row r="270" spans="1:6" ht="27.6">
      <c r="A270" s="4">
        <v>37</v>
      </c>
      <c r="B270" s="5" t="s">
        <v>63</v>
      </c>
      <c r="C270" s="20" t="s">
        <v>64</v>
      </c>
      <c r="D270" s="15">
        <v>4</v>
      </c>
      <c r="E270" s="8">
        <v>15.30836332704</v>
      </c>
      <c r="F270" s="9">
        <v>61.233453308160001</v>
      </c>
    </row>
    <row r="271" spans="1:6" ht="27.6">
      <c r="A271" s="4">
        <v>38</v>
      </c>
      <c r="B271" s="5" t="s">
        <v>54</v>
      </c>
      <c r="C271" s="6" t="s">
        <v>55</v>
      </c>
      <c r="D271" s="15">
        <v>14</v>
      </c>
      <c r="E271" s="8">
        <v>1.3839543900000004</v>
      </c>
      <c r="F271" s="9">
        <v>19.375361460000008</v>
      </c>
    </row>
    <row r="272" spans="1:6">
      <c r="A272" s="4">
        <v>39</v>
      </c>
      <c r="B272" s="5" t="s">
        <v>65</v>
      </c>
      <c r="C272" s="6" t="s">
        <v>66</v>
      </c>
      <c r="D272" s="17">
        <f>0.05+0.07+0.065</f>
        <v>0.185</v>
      </c>
      <c r="E272" s="8">
        <v>134.73352988239202</v>
      </c>
      <c r="F272" s="9">
        <v>24.925703028242523</v>
      </c>
    </row>
    <row r="273" spans="1:6">
      <c r="A273" s="4">
        <v>40</v>
      </c>
      <c r="B273" s="21" t="s">
        <v>67</v>
      </c>
      <c r="C273" s="6" t="s">
        <v>47</v>
      </c>
      <c r="D273" s="15">
        <v>1</v>
      </c>
      <c r="E273" s="8">
        <v>13.02</v>
      </c>
      <c r="F273" s="9">
        <v>13.02</v>
      </c>
    </row>
    <row r="274" spans="1:6">
      <c r="A274" s="4">
        <v>41</v>
      </c>
      <c r="B274" s="5" t="s">
        <v>68</v>
      </c>
      <c r="C274" s="6" t="s">
        <v>69</v>
      </c>
      <c r="D274" s="10">
        <v>1.85</v>
      </c>
      <c r="E274" s="8">
        <v>73.351735291207802</v>
      </c>
      <c r="F274" s="9">
        <v>135.70071028873443</v>
      </c>
    </row>
    <row r="275" spans="1:6">
      <c r="A275" s="41" t="s">
        <v>90</v>
      </c>
      <c r="B275" s="41"/>
      <c r="C275" s="41"/>
      <c r="D275" s="41"/>
      <c r="E275" s="41"/>
      <c r="F275" s="23">
        <f>SUM(F234:F274)</f>
        <v>4228.6895831598467</v>
      </c>
    </row>
    <row r="276" spans="1:6" ht="15">
      <c r="A276" s="44" t="s">
        <v>113</v>
      </c>
      <c r="B276" s="44"/>
      <c r="C276" s="44"/>
      <c r="D276" s="44"/>
      <c r="E276" s="44"/>
      <c r="F276" s="44"/>
    </row>
    <row r="277" spans="1:6" ht="27.6">
      <c r="A277" s="4">
        <v>1</v>
      </c>
      <c r="B277" s="5" t="s">
        <v>9</v>
      </c>
      <c r="C277" s="6" t="s">
        <v>10</v>
      </c>
      <c r="D277" s="7">
        <v>100</v>
      </c>
      <c r="E277" s="8">
        <v>1.8386889570000002E-2</v>
      </c>
      <c r="F277" s="9">
        <v>1.8386889570000002</v>
      </c>
    </row>
    <row r="278" spans="1:6">
      <c r="A278" s="4">
        <v>2</v>
      </c>
      <c r="B278" s="5" t="s">
        <v>11</v>
      </c>
      <c r="C278" s="6" t="s">
        <v>12</v>
      </c>
      <c r="D278" s="7">
        <f>389*0.8*0.8</f>
        <v>248.96000000000004</v>
      </c>
      <c r="E278" s="8">
        <v>0.67247248114199998</v>
      </c>
      <c r="F278" s="9">
        <v>167.41874890511235</v>
      </c>
    </row>
    <row r="279" spans="1:6">
      <c r="A279" s="4">
        <v>3</v>
      </c>
      <c r="B279" s="5" t="s">
        <v>13</v>
      </c>
      <c r="C279" s="6" t="s">
        <v>12</v>
      </c>
      <c r="D279" s="7">
        <f>(389*0.8*0.7)</f>
        <v>217.84000000000003</v>
      </c>
      <c r="E279" s="8">
        <v>0.85893175310460013</v>
      </c>
      <c r="F279" s="9">
        <v>187.10969309630613</v>
      </c>
    </row>
    <row r="280" spans="1:6">
      <c r="A280" s="4">
        <v>4</v>
      </c>
      <c r="B280" s="5" t="s">
        <v>14</v>
      </c>
      <c r="C280" s="6" t="s">
        <v>12</v>
      </c>
      <c r="D280" s="10">
        <f>389*0.6*0.1</f>
        <v>23.34</v>
      </c>
      <c r="E280" s="8">
        <v>3.7470791820000007</v>
      </c>
      <c r="F280" s="9">
        <v>87.456828107880014</v>
      </c>
    </row>
    <row r="281" spans="1:6" ht="27.6">
      <c r="A281" s="4">
        <v>5</v>
      </c>
      <c r="B281" s="5" t="s">
        <v>15</v>
      </c>
      <c r="C281" s="6" t="s">
        <v>16</v>
      </c>
      <c r="D281" s="10">
        <f>(+D278+D279+D280)-D283-D284</f>
        <v>373.44000000000005</v>
      </c>
      <c r="E281" s="8">
        <v>0.6084083856732001</v>
      </c>
      <c r="F281" s="9">
        <v>227.20402754579987</v>
      </c>
    </row>
    <row r="282" spans="1:6">
      <c r="A282" s="4">
        <v>6</v>
      </c>
      <c r="B282" s="5" t="s">
        <v>17</v>
      </c>
      <c r="C282" s="6" t="s">
        <v>18</v>
      </c>
      <c r="D282" s="10">
        <f>D281*1.8</f>
        <v>672.19200000000012</v>
      </c>
      <c r="E282" s="8">
        <v>0.3906</v>
      </c>
      <c r="F282" s="9">
        <v>262.55819520000006</v>
      </c>
    </row>
    <row r="283" spans="1:6" ht="27.6">
      <c r="A283" s="4">
        <v>7</v>
      </c>
      <c r="B283" s="5" t="s">
        <v>19</v>
      </c>
      <c r="C283" s="11" t="s">
        <v>20</v>
      </c>
      <c r="D283" s="12">
        <f>389*0.6*0.1</f>
        <v>23.34</v>
      </c>
      <c r="E283" s="8">
        <v>9.7072004441999997</v>
      </c>
      <c r="F283" s="9">
        <v>226.56605836762799</v>
      </c>
    </row>
    <row r="284" spans="1:6" ht="27.6">
      <c r="A284" s="4">
        <v>8</v>
      </c>
      <c r="B284" s="5" t="s">
        <v>21</v>
      </c>
      <c r="C284" s="11" t="s">
        <v>20</v>
      </c>
      <c r="D284" s="14">
        <f>(D283/0.1)*0.4</f>
        <v>93.36</v>
      </c>
      <c r="E284" s="8">
        <v>9.7072004441999997</v>
      </c>
      <c r="F284" s="9">
        <v>906.26423347051195</v>
      </c>
    </row>
    <row r="285" spans="1:6">
      <c r="A285" s="4">
        <v>9</v>
      </c>
      <c r="B285" s="5" t="s">
        <v>22</v>
      </c>
      <c r="C285" s="6" t="s">
        <v>12</v>
      </c>
      <c r="D285" s="7">
        <f>D286</f>
        <v>373.44000000000005</v>
      </c>
      <c r="E285" s="8">
        <v>0.35379955199399998</v>
      </c>
      <c r="F285" s="9">
        <v>132.12290469663938</v>
      </c>
    </row>
    <row r="286" spans="1:6" ht="27.6">
      <c r="A286" s="4">
        <v>10</v>
      </c>
      <c r="B286" s="5" t="s">
        <v>23</v>
      </c>
      <c r="C286" s="6" t="s">
        <v>12</v>
      </c>
      <c r="D286" s="7">
        <f>D281</f>
        <v>373.44000000000005</v>
      </c>
      <c r="E286" s="8">
        <v>0.42407832990600003</v>
      </c>
      <c r="F286" s="9">
        <v>158.36781152009667</v>
      </c>
    </row>
    <row r="287" spans="1:6">
      <c r="A287" s="4">
        <v>11</v>
      </c>
      <c r="B287" s="13" t="s">
        <v>24</v>
      </c>
      <c r="C287" s="11" t="s">
        <v>25</v>
      </c>
      <c r="D287" s="14">
        <v>20</v>
      </c>
      <c r="E287" s="8">
        <v>0.69544420590959999</v>
      </c>
      <c r="F287" s="9">
        <v>13.908884118191999</v>
      </c>
    </row>
    <row r="288" spans="1:6" ht="27.6">
      <c r="A288" s="4">
        <v>12</v>
      </c>
      <c r="B288" s="13" t="s">
        <v>26</v>
      </c>
      <c r="C288" s="11" t="s">
        <v>27</v>
      </c>
      <c r="D288" s="12">
        <v>20</v>
      </c>
      <c r="E288" s="8">
        <v>5.7435695971331988</v>
      </c>
      <c r="F288" s="9">
        <v>114.87139194266398</v>
      </c>
    </row>
    <row r="289" spans="1:6" ht="15.6">
      <c r="A289" s="4">
        <v>13</v>
      </c>
      <c r="B289" s="13" t="s">
        <v>28</v>
      </c>
      <c r="C289" s="11" t="s">
        <v>27</v>
      </c>
      <c r="D289" s="12">
        <v>20</v>
      </c>
      <c r="E289" s="8">
        <v>4.0653740936759997</v>
      </c>
      <c r="F289" s="9">
        <v>81.30748187351999</v>
      </c>
    </row>
    <row r="290" spans="1:6">
      <c r="A290" s="4">
        <v>14</v>
      </c>
      <c r="B290" s="5" t="s">
        <v>29</v>
      </c>
      <c r="C290" s="6" t="s">
        <v>30</v>
      </c>
      <c r="D290" s="15">
        <v>150</v>
      </c>
      <c r="E290" s="8">
        <v>1.7573702544384</v>
      </c>
      <c r="F290" s="9">
        <v>263.60553816575998</v>
      </c>
    </row>
    <row r="291" spans="1:6" ht="27.6">
      <c r="A291" s="4">
        <v>15</v>
      </c>
      <c r="B291" s="13" t="s">
        <v>92</v>
      </c>
      <c r="C291" s="11" t="s">
        <v>32</v>
      </c>
      <c r="D291" s="14">
        <v>389</v>
      </c>
      <c r="E291" s="8">
        <v>3.1708238772000006</v>
      </c>
      <c r="F291" s="9">
        <v>1233.4504882308001</v>
      </c>
    </row>
    <row r="292" spans="1:6" ht="27.6">
      <c r="A292" s="4">
        <v>16</v>
      </c>
      <c r="B292" s="5" t="s">
        <v>102</v>
      </c>
      <c r="C292" s="6" t="s">
        <v>34</v>
      </c>
      <c r="D292" s="10">
        <v>0.1</v>
      </c>
      <c r="E292" s="8">
        <v>570.53037147960003</v>
      </c>
      <c r="F292" s="9">
        <v>57.053037147960005</v>
      </c>
    </row>
    <row r="293" spans="1:6" ht="15.6">
      <c r="A293" s="4">
        <v>17</v>
      </c>
      <c r="B293" s="19" t="s">
        <v>58</v>
      </c>
      <c r="C293" s="11" t="s">
        <v>20</v>
      </c>
      <c r="D293" s="12">
        <v>0.8</v>
      </c>
      <c r="E293" s="8">
        <v>10.678178297639999</v>
      </c>
      <c r="F293" s="9">
        <v>8.5425426381119998</v>
      </c>
    </row>
    <row r="294" spans="1:6">
      <c r="A294" s="4">
        <v>18</v>
      </c>
      <c r="B294" s="5" t="s">
        <v>59</v>
      </c>
      <c r="C294" s="6" t="s">
        <v>12</v>
      </c>
      <c r="D294" s="10">
        <v>0.8</v>
      </c>
      <c r="E294" s="8">
        <v>43.763472864720008</v>
      </c>
      <c r="F294" s="9">
        <v>35.010778291776006</v>
      </c>
    </row>
    <row r="295" spans="1:6">
      <c r="A295" s="4">
        <v>19</v>
      </c>
      <c r="B295" s="5" t="s">
        <v>93</v>
      </c>
      <c r="C295" s="6" t="s">
        <v>61</v>
      </c>
      <c r="D295" s="15">
        <v>1</v>
      </c>
      <c r="E295" s="8">
        <v>1414.752649884168</v>
      </c>
      <c r="F295" s="9">
        <v>1414.752649884168</v>
      </c>
    </row>
    <row r="296" spans="1:6">
      <c r="A296" s="4">
        <v>20</v>
      </c>
      <c r="B296" s="13" t="s">
        <v>72</v>
      </c>
      <c r="C296" s="11" t="s">
        <v>32</v>
      </c>
      <c r="D296" s="14">
        <v>5.4</v>
      </c>
      <c r="E296" s="8">
        <v>3.2011669351200003</v>
      </c>
      <c r="F296" s="9">
        <v>17.286301449648004</v>
      </c>
    </row>
    <row r="297" spans="1:6" ht="27.6">
      <c r="A297" s="4">
        <v>21</v>
      </c>
      <c r="B297" s="5" t="s">
        <v>94</v>
      </c>
      <c r="C297" s="6" t="s">
        <v>34</v>
      </c>
      <c r="D297" s="10">
        <v>0.2</v>
      </c>
      <c r="E297" s="8">
        <v>83.524291863599998</v>
      </c>
      <c r="F297" s="9">
        <v>16.70485837272</v>
      </c>
    </row>
    <row r="298" spans="1:6" ht="27.6">
      <c r="A298" s="4">
        <v>22</v>
      </c>
      <c r="B298" s="13" t="s">
        <v>109</v>
      </c>
      <c r="C298" s="11" t="s">
        <v>36</v>
      </c>
      <c r="D298" s="16">
        <v>4</v>
      </c>
      <c r="E298" s="8">
        <v>16.575397882680001</v>
      </c>
      <c r="F298" s="9">
        <v>66.301591530720003</v>
      </c>
    </row>
    <row r="299" spans="1:6">
      <c r="A299" s="4">
        <v>23</v>
      </c>
      <c r="B299" s="5" t="s">
        <v>111</v>
      </c>
      <c r="C299" s="6" t="s">
        <v>36</v>
      </c>
      <c r="D299" s="15">
        <v>1</v>
      </c>
      <c r="E299" s="8">
        <v>66.367893198600015</v>
      </c>
      <c r="F299" s="9">
        <v>66.367893198600015</v>
      </c>
    </row>
    <row r="300" spans="1:6" ht="27.6">
      <c r="A300" s="4">
        <v>24</v>
      </c>
      <c r="B300" s="5" t="s">
        <v>97</v>
      </c>
      <c r="C300" s="6" t="s">
        <v>18</v>
      </c>
      <c r="D300" s="17">
        <f>0.005*3</f>
        <v>1.4999999999999999E-2</v>
      </c>
      <c r="E300" s="8">
        <v>2890.0241099519999</v>
      </c>
      <c r="F300" s="9">
        <v>43.350361649279996</v>
      </c>
    </row>
    <row r="301" spans="1:6" ht="27.6">
      <c r="A301" s="4">
        <v>25</v>
      </c>
      <c r="B301" s="5" t="s">
        <v>114</v>
      </c>
      <c r="C301" s="6" t="s">
        <v>39</v>
      </c>
      <c r="D301" s="7">
        <v>16</v>
      </c>
      <c r="E301" s="8">
        <v>11.079159405022644</v>
      </c>
      <c r="F301" s="9">
        <v>177.2665504803623</v>
      </c>
    </row>
    <row r="302" spans="1:6">
      <c r="A302" s="4">
        <v>26</v>
      </c>
      <c r="B302" s="5" t="s">
        <v>99</v>
      </c>
      <c r="C302" s="6" t="s">
        <v>47</v>
      </c>
      <c r="D302" s="15">
        <v>4</v>
      </c>
      <c r="E302" s="8">
        <v>12.63228935934</v>
      </c>
      <c r="F302" s="9">
        <v>50.529157437359999</v>
      </c>
    </row>
    <row r="303" spans="1:6">
      <c r="A303" s="4">
        <v>27</v>
      </c>
      <c r="B303" s="5" t="s">
        <v>51</v>
      </c>
      <c r="C303" s="6" t="s">
        <v>18</v>
      </c>
      <c r="D303" s="17">
        <v>0.01</v>
      </c>
      <c r="E303" s="8">
        <v>772.77154232040004</v>
      </c>
      <c r="F303" s="9">
        <v>7.7277154232040006</v>
      </c>
    </row>
    <row r="304" spans="1:6">
      <c r="A304" s="4">
        <v>28</v>
      </c>
      <c r="B304" s="5" t="s">
        <v>84</v>
      </c>
      <c r="C304" s="6" t="s">
        <v>16</v>
      </c>
      <c r="D304" s="10">
        <v>0.09</v>
      </c>
      <c r="E304" s="8">
        <v>50.092472991120005</v>
      </c>
      <c r="F304" s="9">
        <v>4.5083225692008</v>
      </c>
    </row>
    <row r="305" spans="1:6">
      <c r="A305" s="4">
        <v>29</v>
      </c>
      <c r="B305" s="5" t="s">
        <v>52</v>
      </c>
      <c r="C305" s="6" t="s">
        <v>39</v>
      </c>
      <c r="D305" s="7">
        <v>400</v>
      </c>
      <c r="E305" s="8">
        <v>0.101511781476</v>
      </c>
      <c r="F305" s="9">
        <v>40.604712590399998</v>
      </c>
    </row>
    <row r="306" spans="1:6">
      <c r="A306" s="4">
        <v>30</v>
      </c>
      <c r="B306" s="5" t="s">
        <v>53</v>
      </c>
      <c r="C306" s="6" t="s">
        <v>39</v>
      </c>
      <c r="D306" s="7">
        <v>400</v>
      </c>
      <c r="E306" s="8">
        <v>0.68128712400000002</v>
      </c>
      <c r="F306" s="9">
        <v>272.51484959999999</v>
      </c>
    </row>
    <row r="307" spans="1:6" ht="27.6">
      <c r="A307" s="4">
        <v>31</v>
      </c>
      <c r="B307" s="13" t="s">
        <v>56</v>
      </c>
      <c r="C307" s="11" t="s">
        <v>25</v>
      </c>
      <c r="D307" s="14">
        <v>400</v>
      </c>
      <c r="E307" s="8">
        <v>0.12137223168000003</v>
      </c>
      <c r="F307" s="9">
        <v>48.548892672000008</v>
      </c>
    </row>
    <row r="308" spans="1:6">
      <c r="A308" s="4">
        <v>32</v>
      </c>
      <c r="B308" s="5" t="s">
        <v>57</v>
      </c>
      <c r="C308" s="18" t="s">
        <v>47</v>
      </c>
      <c r="D308" s="16">
        <v>1</v>
      </c>
      <c r="E308" s="8">
        <v>23.2783319664</v>
      </c>
      <c r="F308" s="9">
        <v>23.2783319664</v>
      </c>
    </row>
    <row r="309" spans="1:6">
      <c r="A309" s="4">
        <v>33</v>
      </c>
      <c r="B309" s="5" t="s">
        <v>13</v>
      </c>
      <c r="C309" s="6" t="s">
        <v>12</v>
      </c>
      <c r="D309" s="7">
        <v>2.2000000000000002</v>
      </c>
      <c r="E309" s="8">
        <v>0.85893175310460013</v>
      </c>
      <c r="F309" s="9">
        <v>1.8896498568301203</v>
      </c>
    </row>
    <row r="310" spans="1:6" ht="27.6">
      <c r="A310" s="4">
        <v>34</v>
      </c>
      <c r="B310" s="5" t="s">
        <v>15</v>
      </c>
      <c r="C310" s="6" t="s">
        <v>16</v>
      </c>
      <c r="D310" s="10">
        <v>2.2000000000000002</v>
      </c>
      <c r="E310" s="8">
        <v>0.6084083856732001</v>
      </c>
      <c r="F310" s="9">
        <v>1.3384984484810403</v>
      </c>
    </row>
    <row r="311" spans="1:6">
      <c r="A311" s="4">
        <v>35</v>
      </c>
      <c r="B311" s="5" t="s">
        <v>17</v>
      </c>
      <c r="C311" s="6" t="s">
        <v>18</v>
      </c>
      <c r="D311" s="10">
        <v>2.6</v>
      </c>
      <c r="E311" s="8">
        <v>0.3906</v>
      </c>
      <c r="F311" s="9">
        <v>1.01556</v>
      </c>
    </row>
    <row r="312" spans="1:6">
      <c r="A312" s="4">
        <v>36</v>
      </c>
      <c r="B312" s="5" t="s">
        <v>62</v>
      </c>
      <c r="C312" s="6" t="s">
        <v>12</v>
      </c>
      <c r="D312" s="10">
        <v>0.04</v>
      </c>
      <c r="E312" s="8">
        <v>52.413716922000006</v>
      </c>
      <c r="F312" s="9">
        <v>2.0965486768800004</v>
      </c>
    </row>
    <row r="313" spans="1:6" ht="27.6">
      <c r="A313" s="4">
        <v>37</v>
      </c>
      <c r="B313" s="5" t="s">
        <v>63</v>
      </c>
      <c r="C313" s="20" t="s">
        <v>64</v>
      </c>
      <c r="D313" s="15">
        <v>4</v>
      </c>
      <c r="E313" s="8">
        <v>15.30836332704</v>
      </c>
      <c r="F313" s="9">
        <v>61.233453308160001</v>
      </c>
    </row>
    <row r="314" spans="1:6" ht="27.6">
      <c r="A314" s="4">
        <v>38</v>
      </c>
      <c r="B314" s="5" t="s">
        <v>54</v>
      </c>
      <c r="C314" s="6" t="s">
        <v>55</v>
      </c>
      <c r="D314" s="15">
        <v>34</v>
      </c>
      <c r="E314" s="8">
        <v>1.3839543900000004</v>
      </c>
      <c r="F314" s="9">
        <v>47.054449260000013</v>
      </c>
    </row>
    <row r="315" spans="1:6">
      <c r="A315" s="4">
        <v>39</v>
      </c>
      <c r="B315" s="5" t="s">
        <v>65</v>
      </c>
      <c r="C315" s="6" t="s">
        <v>66</v>
      </c>
      <c r="D315" s="17">
        <f>0.05+0.1+0.065</f>
        <v>0.21500000000000002</v>
      </c>
      <c r="E315" s="8">
        <v>134.73352988239202</v>
      </c>
      <c r="F315" s="9">
        <v>28.967708924714287</v>
      </c>
    </row>
    <row r="316" spans="1:6">
      <c r="A316" s="4">
        <v>40</v>
      </c>
      <c r="B316" s="21" t="s">
        <v>67</v>
      </c>
      <c r="C316" s="6" t="s">
        <v>47</v>
      </c>
      <c r="D316" s="15">
        <v>1</v>
      </c>
      <c r="E316" s="8">
        <v>13.02</v>
      </c>
      <c r="F316" s="9">
        <v>13.02</v>
      </c>
    </row>
    <row r="317" spans="1:6">
      <c r="A317" s="4">
        <v>41</v>
      </c>
      <c r="B317" s="5" t="s">
        <v>68</v>
      </c>
      <c r="C317" s="6" t="s">
        <v>69</v>
      </c>
      <c r="D317" s="10">
        <v>4.2</v>
      </c>
      <c r="E317" s="8">
        <v>73.351735291207802</v>
      </c>
      <c r="F317" s="9">
        <v>308.0772882230728</v>
      </c>
    </row>
    <row r="318" spans="1:6">
      <c r="A318" s="41" t="s">
        <v>90</v>
      </c>
      <c r="B318" s="41"/>
      <c r="C318" s="41"/>
      <c r="D318" s="41"/>
      <c r="E318" s="41"/>
      <c r="F318" s="23">
        <f>SUM(F277:F317)</f>
        <v>6879.0926777979594</v>
      </c>
    </row>
    <row r="319" spans="1:6" ht="15">
      <c r="A319" s="25"/>
      <c r="B319" s="26" t="s">
        <v>90</v>
      </c>
      <c r="C319" s="27"/>
      <c r="D319" s="28"/>
      <c r="E319" s="29"/>
      <c r="F319" s="24">
        <f>SUM(F318+F275+F232+F181+F138+F96)</f>
        <v>191390.31446149087</v>
      </c>
    </row>
    <row r="320" spans="1:6" ht="15">
      <c r="A320" s="25"/>
      <c r="B320" s="26" t="s">
        <v>115</v>
      </c>
      <c r="C320" s="27" t="s">
        <v>116</v>
      </c>
      <c r="D320" s="28"/>
      <c r="E320" s="30"/>
      <c r="F320" s="31">
        <f>F319*0.2</f>
        <v>38278.062892298178</v>
      </c>
    </row>
    <row r="321" spans="1:6" ht="15">
      <c r="A321" s="32"/>
      <c r="B321" s="33" t="s">
        <v>117</v>
      </c>
      <c r="C321" s="34"/>
      <c r="D321" s="34"/>
      <c r="E321" s="32"/>
      <c r="F321" s="28">
        <f>F320+F319</f>
        <v>229668.37735378905</v>
      </c>
    </row>
  </sheetData>
  <mergeCells count="20">
    <mergeCell ref="A1:F1"/>
    <mergeCell ref="A2:F2"/>
    <mergeCell ref="A3:A5"/>
    <mergeCell ref="B3:B5"/>
    <mergeCell ref="C3:C5"/>
    <mergeCell ref="D3:D5"/>
    <mergeCell ref="E3:E5"/>
    <mergeCell ref="F3:F5"/>
    <mergeCell ref="A318:E318"/>
    <mergeCell ref="A7:F7"/>
    <mergeCell ref="A96:E96"/>
    <mergeCell ref="A97:F97"/>
    <mergeCell ref="A138:E138"/>
    <mergeCell ref="A139:F139"/>
    <mergeCell ref="A181:E181"/>
    <mergeCell ref="A182:F182"/>
    <mergeCell ref="A232:E232"/>
    <mergeCell ref="A233:F233"/>
    <mergeCell ref="A275:E275"/>
    <mergeCell ref="A276:F276"/>
  </mergeCells>
  <pageMargins left="0" right="0" top="0" bottom="0" header="0.31496062992125984" footer="0.31496062992125984"/>
  <pageSetup scale="87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A69D6-AE83-4449-9332-0BC5C403905E}">
  <dimension ref="A1:F321"/>
  <sheetViews>
    <sheetView topLeftCell="A298" workbookViewId="0">
      <selection activeCell="A7" sqref="A7:F7"/>
    </sheetView>
  </sheetViews>
  <sheetFormatPr defaultRowHeight="14.4"/>
  <cols>
    <col min="1" max="1" width="4.88671875" style="1" customWidth="1"/>
    <col min="2" max="2" width="61.109375" style="2" customWidth="1"/>
    <col min="3" max="3" width="10.33203125" style="1" customWidth="1"/>
    <col min="4" max="5" width="11.88671875" style="1" customWidth="1"/>
    <col min="6" max="6" width="17.5546875" style="1" customWidth="1"/>
  </cols>
  <sheetData>
    <row r="1" spans="1:6" ht="15">
      <c r="A1" s="51" t="s">
        <v>118</v>
      </c>
      <c r="B1" s="51"/>
      <c r="C1" s="51"/>
      <c r="D1" s="51"/>
      <c r="E1" s="51"/>
      <c r="F1" s="51"/>
    </row>
    <row r="2" spans="1:6" ht="45.75" customHeight="1">
      <c r="A2" s="46" t="s">
        <v>119</v>
      </c>
      <c r="B2" s="46"/>
      <c r="C2" s="46"/>
      <c r="D2" s="46"/>
      <c r="E2" s="46"/>
      <c r="F2" s="46"/>
    </row>
    <row r="3" spans="1:6" ht="15" customHeight="1">
      <c r="A3" s="52" t="s">
        <v>122</v>
      </c>
      <c r="B3" s="55" t="s">
        <v>123</v>
      </c>
      <c r="C3" s="52" t="s">
        <v>124</v>
      </c>
      <c r="D3" s="52" t="s">
        <v>125</v>
      </c>
      <c r="E3" s="58" t="s">
        <v>120</v>
      </c>
      <c r="F3" s="61" t="s">
        <v>121</v>
      </c>
    </row>
    <row r="4" spans="1:6">
      <c r="A4" s="53"/>
      <c r="B4" s="56"/>
      <c r="C4" s="53"/>
      <c r="D4" s="53"/>
      <c r="E4" s="59"/>
      <c r="F4" s="62"/>
    </row>
    <row r="5" spans="1:6">
      <c r="A5" s="54"/>
      <c r="B5" s="57"/>
      <c r="C5" s="54"/>
      <c r="D5" s="54"/>
      <c r="E5" s="60"/>
      <c r="F5" s="63"/>
    </row>
    <row r="6" spans="1:6">
      <c r="A6" s="3">
        <v>1</v>
      </c>
      <c r="B6" s="35">
        <v>2</v>
      </c>
      <c r="C6" s="3">
        <v>3</v>
      </c>
      <c r="D6" s="3">
        <v>4</v>
      </c>
      <c r="E6" s="3">
        <v>5</v>
      </c>
      <c r="F6" s="3">
        <v>6</v>
      </c>
    </row>
    <row r="7" spans="1:6" ht="15">
      <c r="A7" s="42" t="s">
        <v>126</v>
      </c>
      <c r="B7" s="42"/>
      <c r="C7" s="42"/>
      <c r="D7" s="42"/>
      <c r="E7" s="42"/>
      <c r="F7" s="42"/>
    </row>
    <row r="8" spans="1:6" ht="28.2">
      <c r="A8" s="4">
        <v>1</v>
      </c>
      <c r="B8" s="36" t="s">
        <v>127</v>
      </c>
      <c r="C8" s="6" t="s">
        <v>267</v>
      </c>
      <c r="D8" s="7">
        <v>150</v>
      </c>
      <c r="E8" s="8">
        <v>1.8386889570000002E-2</v>
      </c>
      <c r="F8" s="9">
        <v>2.7580334355000002</v>
      </c>
    </row>
    <row r="9" spans="1:6">
      <c r="A9" s="4">
        <v>2</v>
      </c>
      <c r="B9" s="36" t="s">
        <v>128</v>
      </c>
      <c r="C9" s="6" t="s">
        <v>268</v>
      </c>
      <c r="D9" s="7">
        <f>D22*0.8*0.8</f>
        <v>197.12</v>
      </c>
      <c r="E9" s="8">
        <v>0.67247248114199998</v>
      </c>
      <c r="F9" s="9">
        <v>132.55777548271104</v>
      </c>
    </row>
    <row r="10" spans="1:6">
      <c r="A10" s="4">
        <v>3</v>
      </c>
      <c r="B10" s="36" t="s">
        <v>129</v>
      </c>
      <c r="C10" s="6" t="s">
        <v>268</v>
      </c>
      <c r="D10" s="7">
        <f>D22*0.8*0.6</f>
        <v>147.84</v>
      </c>
      <c r="E10" s="8">
        <v>0.85893175310460013</v>
      </c>
      <c r="F10" s="9">
        <v>126.98447037898408</v>
      </c>
    </row>
    <row r="11" spans="1:6">
      <c r="A11" s="4">
        <v>4</v>
      </c>
      <c r="B11" s="36" t="s">
        <v>130</v>
      </c>
      <c r="C11" s="6" t="s">
        <v>268</v>
      </c>
      <c r="D11" s="10">
        <f>D22*0.6*0.1</f>
        <v>18.48</v>
      </c>
      <c r="E11" s="8">
        <v>3.7470791820000007</v>
      </c>
      <c r="F11" s="9">
        <v>69.246023283360017</v>
      </c>
    </row>
    <row r="12" spans="1:6">
      <c r="A12" s="4">
        <v>5</v>
      </c>
      <c r="B12" s="36" t="s">
        <v>131</v>
      </c>
      <c r="C12" s="6" t="s">
        <v>268</v>
      </c>
      <c r="D12" s="10">
        <f>((D11+D9+D10)-(D14+D15))*1.8</f>
        <v>481.2192</v>
      </c>
      <c r="E12" s="8">
        <v>0.6084083856732001</v>
      </c>
      <c r="F12" s="9">
        <v>292.77779662694883</v>
      </c>
    </row>
    <row r="13" spans="1:6">
      <c r="A13" s="4">
        <v>6</v>
      </c>
      <c r="B13" s="36" t="s">
        <v>132</v>
      </c>
      <c r="C13" s="6" t="s">
        <v>270</v>
      </c>
      <c r="D13" s="10">
        <f>D12*1.8</f>
        <v>866.19456000000002</v>
      </c>
      <c r="E13" s="8">
        <v>0.3906</v>
      </c>
      <c r="F13" s="9">
        <v>338.33559513599999</v>
      </c>
    </row>
    <row r="14" spans="1:6" ht="28.2">
      <c r="A14" s="4">
        <v>7</v>
      </c>
      <c r="B14" s="36" t="s">
        <v>133</v>
      </c>
      <c r="C14" s="6" t="s">
        <v>268</v>
      </c>
      <c r="D14" s="12">
        <f>D22*0.6*0.1</f>
        <v>18.48</v>
      </c>
      <c r="E14" s="8">
        <v>9.7072004441999997</v>
      </c>
      <c r="F14" s="9">
        <v>179.389064208816</v>
      </c>
    </row>
    <row r="15" spans="1:6" ht="28.2">
      <c r="A15" s="4">
        <v>8</v>
      </c>
      <c r="B15" s="36" t="s">
        <v>134</v>
      </c>
      <c r="C15" s="6" t="s">
        <v>268</v>
      </c>
      <c r="D15" s="12">
        <f>D22*0.6*0.42</f>
        <v>77.615999999999985</v>
      </c>
      <c r="E15" s="8">
        <v>9.7072004441999997</v>
      </c>
      <c r="F15" s="9">
        <v>753.43406967702708</v>
      </c>
    </row>
    <row r="16" spans="1:6">
      <c r="A16" s="4">
        <v>9</v>
      </c>
      <c r="B16" s="36" t="s">
        <v>135</v>
      </c>
      <c r="C16" s="6" t="s">
        <v>268</v>
      </c>
      <c r="D16" s="7">
        <f>D9+D10+D11</f>
        <v>363.44000000000005</v>
      </c>
      <c r="E16" s="8">
        <v>0.35379955199399998</v>
      </c>
      <c r="F16" s="9">
        <v>128.58490917669937</v>
      </c>
    </row>
    <row r="17" spans="1:6" ht="29.25" customHeight="1">
      <c r="A17" s="4">
        <v>10</v>
      </c>
      <c r="B17" s="36" t="s">
        <v>136</v>
      </c>
      <c r="C17" s="6" t="s">
        <v>268</v>
      </c>
      <c r="D17" s="7">
        <f>D9+D10+D11-D14-D15</f>
        <v>267.34400000000005</v>
      </c>
      <c r="E17" s="8">
        <v>0.42407832990600003</v>
      </c>
      <c r="F17" s="9">
        <v>113.37479703038969</v>
      </c>
    </row>
    <row r="18" spans="1:6">
      <c r="A18" s="4">
        <v>11</v>
      </c>
      <c r="B18" s="36" t="s">
        <v>137</v>
      </c>
      <c r="C18" s="6" t="s">
        <v>271</v>
      </c>
      <c r="D18" s="14">
        <v>30</v>
      </c>
      <c r="E18" s="8">
        <v>0.69544420590959999</v>
      </c>
      <c r="F18" s="9">
        <v>20.863326177287998</v>
      </c>
    </row>
    <row r="19" spans="1:6" ht="28.2">
      <c r="A19" s="4">
        <v>12</v>
      </c>
      <c r="B19" s="36" t="s">
        <v>138</v>
      </c>
      <c r="C19" s="6" t="s">
        <v>267</v>
      </c>
      <c r="D19" s="12">
        <v>15</v>
      </c>
      <c r="E19" s="8">
        <v>5.7435695971331988</v>
      </c>
      <c r="F19" s="9">
        <v>86.153543956997979</v>
      </c>
    </row>
    <row r="20" spans="1:6" ht="28.2">
      <c r="A20" s="4">
        <v>13</v>
      </c>
      <c r="B20" s="36" t="s">
        <v>139</v>
      </c>
      <c r="C20" s="6" t="s">
        <v>267</v>
      </c>
      <c r="D20" s="12">
        <v>15</v>
      </c>
      <c r="E20" s="8">
        <v>4.0653740936759997</v>
      </c>
      <c r="F20" s="9">
        <v>60.980611405139996</v>
      </c>
    </row>
    <row r="21" spans="1:6">
      <c r="A21" s="4">
        <v>14</v>
      </c>
      <c r="B21" s="36" t="s">
        <v>140</v>
      </c>
      <c r="C21" s="6" t="s">
        <v>267</v>
      </c>
      <c r="D21" s="15">
        <v>150</v>
      </c>
      <c r="E21" s="8">
        <v>1.7573702544384</v>
      </c>
      <c r="F21" s="9">
        <v>263.60553816575998</v>
      </c>
    </row>
    <row r="22" spans="1:6" ht="28.2">
      <c r="A22" s="4">
        <v>15</v>
      </c>
      <c r="B22" s="36" t="s">
        <v>141</v>
      </c>
      <c r="C22" s="11" t="s">
        <v>272</v>
      </c>
      <c r="D22" s="14">
        <v>308</v>
      </c>
      <c r="E22" s="8">
        <v>11.393792573520001</v>
      </c>
      <c r="F22" s="9">
        <v>3509.2881126441603</v>
      </c>
    </row>
    <row r="23" spans="1:6" ht="27.6">
      <c r="A23" s="4">
        <v>16</v>
      </c>
      <c r="B23" s="37" t="s">
        <v>142</v>
      </c>
      <c r="C23" s="6" t="s">
        <v>276</v>
      </c>
      <c r="D23" s="10">
        <v>0.1</v>
      </c>
      <c r="E23" s="8">
        <v>1060.8741874668001</v>
      </c>
      <c r="F23" s="9">
        <v>106.08741874668002</v>
      </c>
    </row>
    <row r="24" spans="1:6" ht="28.2">
      <c r="A24" s="4">
        <v>17</v>
      </c>
      <c r="B24" s="36" t="s">
        <v>143</v>
      </c>
      <c r="C24" s="11" t="s">
        <v>274</v>
      </c>
      <c r="D24" s="16">
        <f>4+3</f>
        <v>7</v>
      </c>
      <c r="E24" s="8">
        <v>16.575397882680001</v>
      </c>
      <c r="F24" s="9">
        <v>116.02778517876001</v>
      </c>
    </row>
    <row r="25" spans="1:6">
      <c r="A25" s="4">
        <v>18</v>
      </c>
      <c r="B25" s="36" t="s">
        <v>144</v>
      </c>
      <c r="C25" s="6" t="s">
        <v>274</v>
      </c>
      <c r="D25" s="15">
        <v>1</v>
      </c>
      <c r="E25" s="8">
        <v>66.367893198600015</v>
      </c>
      <c r="F25" s="9">
        <v>66.367893198600015</v>
      </c>
    </row>
    <row r="26" spans="1:6">
      <c r="A26" s="4">
        <v>19</v>
      </c>
      <c r="B26" s="36" t="s">
        <v>145</v>
      </c>
      <c r="C26" s="6" t="s">
        <v>272</v>
      </c>
      <c r="D26" s="7">
        <v>20</v>
      </c>
      <c r="E26" s="8">
        <v>11.557654143000002</v>
      </c>
      <c r="F26" s="9">
        <v>231.15308286000004</v>
      </c>
    </row>
    <row r="27" spans="1:6">
      <c r="A27" s="4">
        <v>20</v>
      </c>
      <c r="B27" s="36" t="s">
        <v>145</v>
      </c>
      <c r="C27" s="6" t="s">
        <v>272</v>
      </c>
      <c r="D27" s="7">
        <v>20</v>
      </c>
      <c r="E27" s="8">
        <v>11.557654143000002</v>
      </c>
      <c r="F27" s="9">
        <v>231.15308286000004</v>
      </c>
    </row>
    <row r="28" spans="1:6" ht="55.2">
      <c r="A28" s="4">
        <v>21</v>
      </c>
      <c r="B28" s="37" t="s">
        <v>146</v>
      </c>
      <c r="C28" s="6" t="s">
        <v>270</v>
      </c>
      <c r="D28" s="17">
        <f>0.004*5+0.005*2+0.0045*2</f>
        <v>3.9E-2</v>
      </c>
      <c r="E28" s="8">
        <v>2281.684700012308</v>
      </c>
      <c r="F28" s="9">
        <v>88.985703300480012</v>
      </c>
    </row>
    <row r="29" spans="1:6">
      <c r="A29" s="4">
        <v>22</v>
      </c>
      <c r="B29" s="36" t="s">
        <v>147</v>
      </c>
      <c r="C29" s="6" t="s">
        <v>278</v>
      </c>
      <c r="D29" s="7">
        <v>20</v>
      </c>
      <c r="E29" s="8">
        <v>2.3711578195200005</v>
      </c>
      <c r="F29" s="9">
        <v>47.42315639040001</v>
      </c>
    </row>
    <row r="30" spans="1:6">
      <c r="A30" s="4">
        <v>23</v>
      </c>
      <c r="B30" s="36" t="s">
        <v>148</v>
      </c>
      <c r="C30" s="6" t="s">
        <v>272</v>
      </c>
      <c r="D30" s="7">
        <v>2.8</v>
      </c>
      <c r="E30" s="8">
        <v>14.895390514199999</v>
      </c>
      <c r="F30" s="9">
        <v>41.707093439759994</v>
      </c>
    </row>
    <row r="31" spans="1:6">
      <c r="A31" s="4">
        <v>24</v>
      </c>
      <c r="B31" s="36" t="s">
        <v>148</v>
      </c>
      <c r="C31" s="6" t="s">
        <v>272</v>
      </c>
      <c r="D31" s="7">
        <v>8</v>
      </c>
      <c r="E31" s="8">
        <v>11.079159405022644</v>
      </c>
      <c r="F31" s="9">
        <v>88.633275240181149</v>
      </c>
    </row>
    <row r="32" spans="1:6">
      <c r="A32" s="4">
        <v>25</v>
      </c>
      <c r="B32" s="36" t="s">
        <v>149</v>
      </c>
      <c r="C32" s="6" t="s">
        <v>277</v>
      </c>
      <c r="D32" s="7">
        <v>3</v>
      </c>
      <c r="E32" s="8">
        <v>12.996406054380001</v>
      </c>
      <c r="F32" s="9">
        <v>38.989218163140002</v>
      </c>
    </row>
    <row r="33" spans="1:6">
      <c r="A33" s="4">
        <v>26</v>
      </c>
      <c r="B33" s="36" t="s">
        <v>150</v>
      </c>
      <c r="C33" s="6" t="s">
        <v>277</v>
      </c>
      <c r="D33" s="7">
        <v>10</v>
      </c>
      <c r="E33" s="8">
        <v>12.63228935934</v>
      </c>
      <c r="F33" s="9">
        <v>126.3228935934</v>
      </c>
    </row>
    <row r="34" spans="1:6">
      <c r="A34" s="4">
        <v>27</v>
      </c>
      <c r="B34" s="36" t="s">
        <v>151</v>
      </c>
      <c r="C34" s="6" t="s">
        <v>268</v>
      </c>
      <c r="D34" s="10">
        <v>1.5</v>
      </c>
      <c r="E34" s="8">
        <v>52.413716922000006</v>
      </c>
      <c r="F34" s="9">
        <v>78.620575383000016</v>
      </c>
    </row>
    <row r="35" spans="1:6">
      <c r="A35" s="4">
        <v>28</v>
      </c>
      <c r="B35" s="36" t="s">
        <v>152</v>
      </c>
      <c r="C35" s="6" t="s">
        <v>272</v>
      </c>
      <c r="D35" s="7">
        <v>10.4</v>
      </c>
      <c r="E35" s="8">
        <v>7.56754202652</v>
      </c>
      <c r="F35" s="9">
        <v>78.702437075808007</v>
      </c>
    </row>
    <row r="36" spans="1:6">
      <c r="A36" s="4">
        <v>29</v>
      </c>
      <c r="B36" s="36" t="s">
        <v>153</v>
      </c>
      <c r="C36" s="6" t="s">
        <v>270</v>
      </c>
      <c r="D36" s="17">
        <v>1.9E-2</v>
      </c>
      <c r="E36" s="8">
        <v>772.77154232040004</v>
      </c>
      <c r="F36" s="9">
        <v>14.682659304087601</v>
      </c>
    </row>
    <row r="37" spans="1:6">
      <c r="A37" s="4">
        <v>30</v>
      </c>
      <c r="B37" s="36" t="s">
        <v>154</v>
      </c>
      <c r="C37" s="6" t="s">
        <v>272</v>
      </c>
      <c r="D37" s="15">
        <v>330</v>
      </c>
      <c r="E37" s="8">
        <v>0.101511781476</v>
      </c>
      <c r="F37" s="9">
        <v>33.498887887080002</v>
      </c>
    </row>
    <row r="38" spans="1:6">
      <c r="A38" s="4">
        <v>31</v>
      </c>
      <c r="B38" s="36" t="s">
        <v>155</v>
      </c>
      <c r="C38" s="6" t="s">
        <v>272</v>
      </c>
      <c r="D38" s="15">
        <v>330</v>
      </c>
      <c r="E38" s="8">
        <v>0.68128712400000002</v>
      </c>
      <c r="F38" s="9">
        <v>224.82475092000001</v>
      </c>
    </row>
    <row r="39" spans="1:6" ht="28.2">
      <c r="A39" s="4">
        <v>32</v>
      </c>
      <c r="B39" s="36" t="s">
        <v>156</v>
      </c>
      <c r="C39" s="6" t="s">
        <v>279</v>
      </c>
      <c r="D39" s="7">
        <v>28</v>
      </c>
      <c r="E39" s="8">
        <v>1.3839543900000004</v>
      </c>
      <c r="F39" s="9">
        <v>38.750722920000015</v>
      </c>
    </row>
    <row r="40" spans="1:6">
      <c r="A40" s="4">
        <v>33</v>
      </c>
      <c r="B40" s="36" t="s">
        <v>157</v>
      </c>
      <c r="C40" s="11" t="s">
        <v>271</v>
      </c>
      <c r="D40" s="14">
        <v>330</v>
      </c>
      <c r="E40" s="8">
        <v>0.12137223168000003</v>
      </c>
      <c r="F40" s="9">
        <v>40.052836454400008</v>
      </c>
    </row>
    <row r="41" spans="1:6">
      <c r="A41" s="4">
        <v>34</v>
      </c>
      <c r="B41" s="36" t="s">
        <v>158</v>
      </c>
      <c r="C41" s="18" t="s">
        <v>277</v>
      </c>
      <c r="D41" s="16">
        <v>1</v>
      </c>
      <c r="E41" s="8">
        <v>23.2783319664</v>
      </c>
      <c r="F41" s="9">
        <v>23.2783319664</v>
      </c>
    </row>
    <row r="42" spans="1:6" ht="28.2">
      <c r="A42" s="4">
        <v>35</v>
      </c>
      <c r="B42" s="36" t="s">
        <v>159</v>
      </c>
      <c r="C42" s="6" t="s">
        <v>268</v>
      </c>
      <c r="D42" s="12">
        <v>0.8</v>
      </c>
      <c r="E42" s="8">
        <v>10.678178297639999</v>
      </c>
      <c r="F42" s="9">
        <v>8.5425426381119998</v>
      </c>
    </row>
    <row r="43" spans="1:6">
      <c r="A43" s="4">
        <v>36</v>
      </c>
      <c r="B43" s="36" t="s">
        <v>160</v>
      </c>
      <c r="C43" s="6" t="s">
        <v>268</v>
      </c>
      <c r="D43" s="10">
        <v>0.8</v>
      </c>
      <c r="E43" s="8">
        <v>43.763472864720008</v>
      </c>
      <c r="F43" s="9">
        <v>35.010778291776006</v>
      </c>
    </row>
    <row r="44" spans="1:6">
      <c r="A44" s="4">
        <v>37</v>
      </c>
      <c r="B44" s="36" t="s">
        <v>161</v>
      </c>
      <c r="C44" s="6" t="s">
        <v>274</v>
      </c>
      <c r="D44" s="15">
        <v>1</v>
      </c>
      <c r="E44" s="8">
        <v>3931.6213094802006</v>
      </c>
      <c r="F44" s="9">
        <v>3931.6213094802006</v>
      </c>
    </row>
    <row r="45" spans="1:6">
      <c r="A45" s="4">
        <v>38</v>
      </c>
      <c r="B45" s="36" t="s">
        <v>162</v>
      </c>
      <c r="C45" s="6" t="s">
        <v>268</v>
      </c>
      <c r="D45" s="10">
        <v>0.04</v>
      </c>
      <c r="E45" s="8">
        <v>52.413716922000006</v>
      </c>
      <c r="F45" s="9">
        <v>2.0965486768800004</v>
      </c>
    </row>
    <row r="46" spans="1:6">
      <c r="A46" s="4">
        <v>39</v>
      </c>
      <c r="B46" s="36" t="s">
        <v>163</v>
      </c>
      <c r="C46" s="20" t="s">
        <v>64</v>
      </c>
      <c r="D46" s="15">
        <v>4</v>
      </c>
      <c r="E46" s="8">
        <v>16.514499879359999</v>
      </c>
      <c r="F46" s="9">
        <v>66.057999517439995</v>
      </c>
    </row>
    <row r="47" spans="1:6" ht="28.2">
      <c r="A47" s="4">
        <v>40</v>
      </c>
      <c r="B47" s="36" t="s">
        <v>164</v>
      </c>
      <c r="C47" s="6" t="s">
        <v>269</v>
      </c>
      <c r="D47" s="10">
        <f>0.05+0.05+0.03</f>
        <v>0.13</v>
      </c>
      <c r="E47" s="8">
        <v>134.73352988239202</v>
      </c>
      <c r="F47" s="9">
        <v>17.515358884710963</v>
      </c>
    </row>
    <row r="48" spans="1:6">
      <c r="A48" s="4">
        <v>41</v>
      </c>
      <c r="B48" s="36" t="s">
        <v>165</v>
      </c>
      <c r="C48" s="6" t="s">
        <v>277</v>
      </c>
      <c r="D48" s="15">
        <v>1</v>
      </c>
      <c r="E48" s="8">
        <v>13.02</v>
      </c>
      <c r="F48" s="9">
        <v>13.02</v>
      </c>
    </row>
    <row r="49" spans="1:6">
      <c r="A49" s="4">
        <v>42</v>
      </c>
      <c r="B49" s="36" t="s">
        <v>166</v>
      </c>
      <c r="C49" s="6" t="s">
        <v>273</v>
      </c>
      <c r="D49" s="10">
        <v>3.5</v>
      </c>
      <c r="E49" s="8">
        <v>73.351735291207802</v>
      </c>
      <c r="F49" s="9">
        <v>256.73107351922732</v>
      </c>
    </row>
    <row r="50" spans="1:6" ht="28.2">
      <c r="A50" s="4">
        <v>43</v>
      </c>
      <c r="B50" s="36" t="s">
        <v>127</v>
      </c>
      <c r="C50" s="6" t="s">
        <v>267</v>
      </c>
      <c r="D50" s="7">
        <v>20000</v>
      </c>
      <c r="E50" s="8">
        <v>1.8386889570000002E-2</v>
      </c>
      <c r="F50" s="9">
        <v>367.73779140000005</v>
      </c>
    </row>
    <row r="51" spans="1:6">
      <c r="A51" s="4">
        <v>44</v>
      </c>
      <c r="B51" s="36" t="s">
        <v>128</v>
      </c>
      <c r="C51" s="6" t="s">
        <v>268</v>
      </c>
      <c r="D51" s="7">
        <f>(D64+D65)*0.8*0.8</f>
        <v>4336</v>
      </c>
      <c r="E51" s="8">
        <v>0.67247248114199998</v>
      </c>
      <c r="F51" s="9">
        <v>2915.840678231712</v>
      </c>
    </row>
    <row r="52" spans="1:6">
      <c r="A52" s="4">
        <v>45</v>
      </c>
      <c r="B52" s="36" t="s">
        <v>129</v>
      </c>
      <c r="C52" s="6" t="s">
        <v>268</v>
      </c>
      <c r="D52" s="7">
        <f>(D64+D984)*0.8*0.7</f>
        <v>1554</v>
      </c>
      <c r="E52" s="8">
        <v>0.85893175310460013</v>
      </c>
      <c r="F52" s="9">
        <v>1334.7799443245485</v>
      </c>
    </row>
    <row r="53" spans="1:6">
      <c r="A53" s="4">
        <v>46</v>
      </c>
      <c r="B53" s="36" t="s">
        <v>130</v>
      </c>
      <c r="C53" s="6" t="s">
        <v>268</v>
      </c>
      <c r="D53" s="10">
        <f>(D64+D65)*0.6*0.1</f>
        <v>406.5</v>
      </c>
      <c r="E53" s="8">
        <v>3.7470791820000007</v>
      </c>
      <c r="F53" s="9">
        <v>1523.1876874830002</v>
      </c>
    </row>
    <row r="54" spans="1:6">
      <c r="A54" s="4">
        <v>47</v>
      </c>
      <c r="B54" s="36" t="s">
        <v>131</v>
      </c>
      <c r="C54" s="6" t="s">
        <v>268</v>
      </c>
      <c r="D54" s="10">
        <v>250</v>
      </c>
      <c r="E54" s="8">
        <v>0.6084083856732001</v>
      </c>
      <c r="F54" s="9">
        <v>152.10209641830002</v>
      </c>
    </row>
    <row r="55" spans="1:6">
      <c r="A55" s="4">
        <v>48</v>
      </c>
      <c r="B55" s="36" t="s">
        <v>132</v>
      </c>
      <c r="C55" s="6" t="s">
        <v>270</v>
      </c>
      <c r="D55" s="10">
        <v>300</v>
      </c>
      <c r="E55" s="8">
        <v>0.3906</v>
      </c>
      <c r="F55" s="9">
        <v>117.18</v>
      </c>
    </row>
    <row r="56" spans="1:6" ht="27.6">
      <c r="A56" s="4">
        <v>49</v>
      </c>
      <c r="B56" s="37" t="s">
        <v>167</v>
      </c>
      <c r="C56" s="6" t="s">
        <v>268</v>
      </c>
      <c r="D56" s="12">
        <f>(D64+D65)*0.6*0.1</f>
        <v>406.5</v>
      </c>
      <c r="E56" s="8">
        <v>9.7072004441999997</v>
      </c>
      <c r="F56" s="9">
        <v>3945.9769805673</v>
      </c>
    </row>
    <row r="57" spans="1:6" ht="28.2">
      <c r="A57" s="4">
        <v>50</v>
      </c>
      <c r="B57" s="36" t="s">
        <v>168</v>
      </c>
      <c r="C57" s="6" t="s">
        <v>268</v>
      </c>
      <c r="D57" s="14">
        <f>(D56/0.1)*0.4</f>
        <v>1626</v>
      </c>
      <c r="E57" s="8">
        <v>9.7072004441999997</v>
      </c>
      <c r="F57" s="9">
        <v>15783.9079222692</v>
      </c>
    </row>
    <row r="58" spans="1:6">
      <c r="A58" s="4">
        <v>51</v>
      </c>
      <c r="B58" s="36" t="s">
        <v>169</v>
      </c>
      <c r="C58" s="6" t="s">
        <v>268</v>
      </c>
      <c r="D58" s="7">
        <f>D51+D52+D53</f>
        <v>6296.5</v>
      </c>
      <c r="E58" s="8">
        <v>0.35379955199399998</v>
      </c>
      <c r="F58" s="9">
        <v>2227.698879130221</v>
      </c>
    </row>
    <row r="59" spans="1:6" ht="28.2">
      <c r="A59" s="4">
        <v>52</v>
      </c>
      <c r="B59" s="36" t="s">
        <v>170</v>
      </c>
      <c r="C59" s="6" t="s">
        <v>268</v>
      </c>
      <c r="D59" s="7">
        <f>D58-D56-D57</f>
        <v>4264</v>
      </c>
      <c r="E59" s="8">
        <v>0.42407832990600003</v>
      </c>
      <c r="F59" s="9">
        <v>1808.2699987191841</v>
      </c>
    </row>
    <row r="60" spans="1:6">
      <c r="A60" s="4">
        <v>53</v>
      </c>
      <c r="B60" s="36" t="s">
        <v>137</v>
      </c>
      <c r="C60" s="11" t="s">
        <v>271</v>
      </c>
      <c r="D60" s="14">
        <v>100</v>
      </c>
      <c r="E60" s="8">
        <v>0.69544420590959999</v>
      </c>
      <c r="F60" s="9">
        <v>69.544420590960002</v>
      </c>
    </row>
    <row r="61" spans="1:6" ht="28.2">
      <c r="A61" s="4">
        <v>54</v>
      </c>
      <c r="B61" s="36" t="s">
        <v>171</v>
      </c>
      <c r="C61" s="6" t="s">
        <v>267</v>
      </c>
      <c r="D61" s="12">
        <v>50</v>
      </c>
      <c r="E61" s="8">
        <v>5.7435695971331988</v>
      </c>
      <c r="F61" s="9">
        <v>287.17847985665992</v>
      </c>
    </row>
    <row r="62" spans="1:6" ht="28.2">
      <c r="A62" s="4">
        <v>55</v>
      </c>
      <c r="B62" s="36" t="s">
        <v>172</v>
      </c>
      <c r="C62" s="6" t="s">
        <v>267</v>
      </c>
      <c r="D62" s="12">
        <v>50</v>
      </c>
      <c r="E62" s="8">
        <v>4.0653740936759997</v>
      </c>
      <c r="F62" s="9">
        <v>203.2687046838</v>
      </c>
    </row>
    <row r="63" spans="1:6" ht="28.2">
      <c r="A63" s="4">
        <v>56</v>
      </c>
      <c r="B63" s="36" t="s">
        <v>173</v>
      </c>
      <c r="C63" s="6" t="s">
        <v>267</v>
      </c>
      <c r="D63" s="15">
        <v>300</v>
      </c>
      <c r="E63" s="8">
        <v>1.7573702544384</v>
      </c>
      <c r="F63" s="9">
        <v>527.21107633151996</v>
      </c>
    </row>
    <row r="64" spans="1:6" ht="28.2">
      <c r="A64" s="4">
        <v>57</v>
      </c>
      <c r="B64" s="36" t="s">
        <v>174</v>
      </c>
      <c r="C64" s="11" t="s">
        <v>272</v>
      </c>
      <c r="D64" s="14">
        <v>2775</v>
      </c>
      <c r="E64" s="8">
        <v>11.393792573520001</v>
      </c>
      <c r="F64" s="9">
        <v>31617.774391518004</v>
      </c>
    </row>
    <row r="65" spans="1:6" ht="28.2">
      <c r="A65" s="4">
        <v>58</v>
      </c>
      <c r="B65" s="36" t="s">
        <v>175</v>
      </c>
      <c r="C65" s="11" t="s">
        <v>272</v>
      </c>
      <c r="D65" s="14">
        <v>4000</v>
      </c>
      <c r="E65" s="8">
        <v>13.836408736079999</v>
      </c>
      <c r="F65" s="9">
        <v>55345.634944319994</v>
      </c>
    </row>
    <row r="66" spans="1:6">
      <c r="A66" s="4">
        <v>59</v>
      </c>
      <c r="B66" s="36" t="s">
        <v>176</v>
      </c>
      <c r="C66" s="11" t="s">
        <v>272</v>
      </c>
      <c r="D66" s="14">
        <v>40</v>
      </c>
      <c r="E66" s="8">
        <v>3.2011669351200003</v>
      </c>
      <c r="F66" s="9">
        <v>128.04667740480002</v>
      </c>
    </row>
    <row r="67" spans="1:6" ht="69">
      <c r="A67" s="4">
        <v>60</v>
      </c>
      <c r="B67" s="37" t="s">
        <v>177</v>
      </c>
      <c r="C67" s="6" t="s">
        <v>276</v>
      </c>
      <c r="D67" s="10">
        <v>4.9000000000000004</v>
      </c>
      <c r="E67" s="8">
        <v>119.84307445560002</v>
      </c>
      <c r="F67" s="9">
        <v>587.2310648324401</v>
      </c>
    </row>
    <row r="68" spans="1:6">
      <c r="A68" s="4">
        <v>61</v>
      </c>
      <c r="B68" s="36" t="s">
        <v>178</v>
      </c>
      <c r="C68" s="6" t="s">
        <v>276</v>
      </c>
      <c r="D68" s="10">
        <v>5</v>
      </c>
      <c r="E68" s="8">
        <v>94.145430211238789</v>
      </c>
      <c r="F68" s="9">
        <v>470.72715105619397</v>
      </c>
    </row>
    <row r="69" spans="1:6" ht="41.4">
      <c r="A69" s="4">
        <v>62</v>
      </c>
      <c r="B69" s="38" t="s">
        <v>179</v>
      </c>
      <c r="C69" s="11" t="s">
        <v>274</v>
      </c>
      <c r="D69" s="16">
        <v>12</v>
      </c>
      <c r="E69" s="8">
        <v>36.298385530680008</v>
      </c>
      <c r="F69" s="9">
        <v>435.5806263681601</v>
      </c>
    </row>
    <row r="70" spans="1:6">
      <c r="A70" s="4">
        <v>63</v>
      </c>
      <c r="B70" s="36" t="s">
        <v>180</v>
      </c>
      <c r="C70" s="6" t="s">
        <v>272</v>
      </c>
      <c r="D70" s="7">
        <v>30</v>
      </c>
      <c r="E70" s="8">
        <v>11.557654143000002</v>
      </c>
      <c r="F70" s="9">
        <v>346.72962429000006</v>
      </c>
    </row>
    <row r="71" spans="1:6" ht="41.4">
      <c r="A71" s="4">
        <v>64</v>
      </c>
      <c r="B71" s="37" t="s">
        <v>181</v>
      </c>
      <c r="C71" s="6" t="s">
        <v>270</v>
      </c>
      <c r="D71" s="17">
        <f>0.006*1+0.005*6</f>
        <v>3.5999999999999997E-2</v>
      </c>
      <c r="E71" s="8">
        <v>1615.5313910400002</v>
      </c>
      <c r="F71" s="9">
        <v>58.159130077440004</v>
      </c>
    </row>
    <row r="72" spans="1:6">
      <c r="A72" s="4">
        <v>65</v>
      </c>
      <c r="B72" s="36" t="s">
        <v>182</v>
      </c>
      <c r="C72" s="6" t="s">
        <v>278</v>
      </c>
      <c r="D72" s="7">
        <v>1.5</v>
      </c>
      <c r="E72" s="8">
        <v>2.3711578195200005</v>
      </c>
      <c r="F72" s="9">
        <v>3.5567367292800007</v>
      </c>
    </row>
    <row r="73" spans="1:6">
      <c r="A73" s="4">
        <v>66</v>
      </c>
      <c r="B73" s="36" t="s">
        <v>183</v>
      </c>
      <c r="C73" s="6" t="s">
        <v>272</v>
      </c>
      <c r="D73" s="7">
        <f>105+3.4</f>
        <v>108.4</v>
      </c>
      <c r="E73" s="8">
        <v>15.0724203294</v>
      </c>
      <c r="F73" s="9">
        <v>1633.85036370696</v>
      </c>
    </row>
    <row r="74" spans="1:6">
      <c r="A74" s="4">
        <v>67</v>
      </c>
      <c r="B74" s="37" t="s">
        <v>184</v>
      </c>
      <c r="C74" s="6" t="s">
        <v>272</v>
      </c>
      <c r="D74" s="7">
        <v>123</v>
      </c>
      <c r="E74" s="8">
        <v>15.590006342399999</v>
      </c>
      <c r="F74" s="9">
        <v>1917.5707801151998</v>
      </c>
    </row>
    <row r="75" spans="1:6">
      <c r="A75" s="4">
        <v>68</v>
      </c>
      <c r="B75" s="36" t="s">
        <v>185</v>
      </c>
      <c r="C75" s="6" t="s">
        <v>277</v>
      </c>
      <c r="D75" s="7">
        <v>70</v>
      </c>
      <c r="E75" s="8">
        <v>12.63228935934</v>
      </c>
      <c r="F75" s="9">
        <v>884.26025515380002</v>
      </c>
    </row>
    <row r="76" spans="1:6">
      <c r="A76" s="4">
        <v>69</v>
      </c>
      <c r="B76" s="36" t="s">
        <v>186</v>
      </c>
      <c r="C76" s="6" t="s">
        <v>268</v>
      </c>
      <c r="D76" s="10">
        <v>2.2999999999999998</v>
      </c>
      <c r="E76" s="8">
        <v>6.9831930209999999</v>
      </c>
      <c r="F76" s="9">
        <v>16.061343948299999</v>
      </c>
    </row>
    <row r="77" spans="1:6">
      <c r="A77" s="4">
        <v>70</v>
      </c>
      <c r="B77" s="36" t="s">
        <v>187</v>
      </c>
      <c r="C77" s="6" t="s">
        <v>270</v>
      </c>
      <c r="D77" s="10">
        <f>+D76*1.5</f>
        <v>3.4499999999999997</v>
      </c>
      <c r="E77" s="8">
        <v>1.2263168231999999</v>
      </c>
      <c r="F77" s="9">
        <v>4.2307930400399991</v>
      </c>
    </row>
    <row r="78" spans="1:6">
      <c r="A78" s="4">
        <v>71</v>
      </c>
      <c r="B78" s="36" t="s">
        <v>188</v>
      </c>
      <c r="C78" s="6" t="s">
        <v>270</v>
      </c>
      <c r="D78" s="10">
        <f>+D77</f>
        <v>3.4499999999999997</v>
      </c>
      <c r="E78" s="8">
        <v>0.3906</v>
      </c>
      <c r="F78" s="9">
        <v>1.3475699999999999</v>
      </c>
    </row>
    <row r="79" spans="1:6">
      <c r="A79" s="4">
        <v>72</v>
      </c>
      <c r="B79" s="36" t="s">
        <v>189</v>
      </c>
      <c r="C79" s="6" t="s">
        <v>268</v>
      </c>
      <c r="D79" s="10">
        <f>0.135+0.85</f>
        <v>0.98499999999999999</v>
      </c>
      <c r="E79" s="8">
        <v>50.092472991120005</v>
      </c>
      <c r="F79" s="9">
        <v>49.341085896253205</v>
      </c>
    </row>
    <row r="80" spans="1:6">
      <c r="A80" s="4">
        <v>73</v>
      </c>
      <c r="B80" s="36" t="s">
        <v>190</v>
      </c>
      <c r="C80" s="6" t="s">
        <v>272</v>
      </c>
      <c r="D80" s="7">
        <v>30</v>
      </c>
      <c r="E80" s="8">
        <v>7.7951149609200012</v>
      </c>
      <c r="F80" s="9">
        <v>233.85344882760003</v>
      </c>
    </row>
    <row r="81" spans="1:6" ht="28.2">
      <c r="A81" s="4">
        <v>74</v>
      </c>
      <c r="B81" s="36" t="s">
        <v>191</v>
      </c>
      <c r="C81" s="6" t="s">
        <v>270</v>
      </c>
      <c r="D81" s="17">
        <v>1.0999999999999999E-2</v>
      </c>
      <c r="E81" s="8">
        <v>716.98880405040006</v>
      </c>
      <c r="F81" s="9">
        <v>7.8868768445544006</v>
      </c>
    </row>
    <row r="82" spans="1:6">
      <c r="A82" s="4">
        <v>75</v>
      </c>
      <c r="B82" s="36" t="s">
        <v>192</v>
      </c>
      <c r="C82" s="6" t="s">
        <v>270</v>
      </c>
      <c r="D82" s="22">
        <v>9.5999999999999992E-3</v>
      </c>
      <c r="E82" s="8">
        <v>772.77154232040004</v>
      </c>
      <c r="F82" s="9">
        <v>7.4186068062758395</v>
      </c>
    </row>
    <row r="83" spans="1:6">
      <c r="A83" s="4">
        <v>76</v>
      </c>
      <c r="B83" s="36" t="s">
        <v>193</v>
      </c>
      <c r="C83" s="6" t="s">
        <v>270</v>
      </c>
      <c r="D83" s="17">
        <v>1.4999999999999999E-2</v>
      </c>
      <c r="E83" s="8">
        <v>772.77154232040004</v>
      </c>
      <c r="F83" s="9">
        <v>11.591573134806</v>
      </c>
    </row>
    <row r="84" spans="1:6">
      <c r="A84" s="4">
        <v>77</v>
      </c>
      <c r="B84" s="36" t="s">
        <v>194</v>
      </c>
      <c r="C84" s="6" t="s">
        <v>272</v>
      </c>
      <c r="D84" s="15">
        <v>6800</v>
      </c>
      <c r="E84" s="8">
        <v>0.101511781476</v>
      </c>
      <c r="F84" s="9">
        <v>690.2801140368</v>
      </c>
    </row>
    <row r="85" spans="1:6">
      <c r="A85" s="4">
        <v>78</v>
      </c>
      <c r="B85" s="36" t="s">
        <v>155</v>
      </c>
      <c r="C85" s="6" t="s">
        <v>272</v>
      </c>
      <c r="D85" s="15">
        <v>6800</v>
      </c>
      <c r="E85" s="8">
        <v>0.68128712400000002</v>
      </c>
      <c r="F85" s="9">
        <v>4632.7524432</v>
      </c>
    </row>
    <row r="86" spans="1:6" ht="28.2">
      <c r="A86" s="4">
        <v>79</v>
      </c>
      <c r="B86" s="36" t="s">
        <v>195</v>
      </c>
      <c r="C86" s="11" t="s">
        <v>271</v>
      </c>
      <c r="D86" s="14">
        <v>6800</v>
      </c>
      <c r="E86" s="8">
        <v>0.12137223168000003</v>
      </c>
      <c r="F86" s="9">
        <v>825.33117542400021</v>
      </c>
    </row>
    <row r="87" spans="1:6">
      <c r="A87" s="4">
        <v>80</v>
      </c>
      <c r="B87" s="36" t="s">
        <v>158</v>
      </c>
      <c r="C87" s="18" t="s">
        <v>277</v>
      </c>
      <c r="D87" s="16">
        <v>1</v>
      </c>
      <c r="E87" s="8">
        <v>23.2783319664</v>
      </c>
      <c r="F87" s="9">
        <v>23.2783319664</v>
      </c>
    </row>
    <row r="88" spans="1:6">
      <c r="A88" s="4">
        <v>81</v>
      </c>
      <c r="B88" s="36" t="s">
        <v>196</v>
      </c>
      <c r="C88" s="6" t="s">
        <v>12</v>
      </c>
      <c r="D88" s="7">
        <v>16</v>
      </c>
      <c r="E88" s="8">
        <v>0.85893175310460013</v>
      </c>
      <c r="F88" s="9">
        <v>13.742908049673602</v>
      </c>
    </row>
    <row r="89" spans="1:6">
      <c r="A89" s="4">
        <v>82</v>
      </c>
      <c r="B89" s="36" t="s">
        <v>197</v>
      </c>
      <c r="C89" s="6" t="s">
        <v>268</v>
      </c>
      <c r="D89" s="10">
        <v>16</v>
      </c>
      <c r="E89" s="8">
        <v>0.6084083856732001</v>
      </c>
      <c r="F89" s="9">
        <v>9.7345341707712016</v>
      </c>
    </row>
    <row r="90" spans="1:6">
      <c r="A90" s="4">
        <v>83</v>
      </c>
      <c r="B90" s="36" t="s">
        <v>188</v>
      </c>
      <c r="C90" s="6" t="s">
        <v>270</v>
      </c>
      <c r="D90" s="10">
        <v>19</v>
      </c>
      <c r="E90" s="8">
        <v>0.3906</v>
      </c>
      <c r="F90" s="9">
        <v>7.4214000000000002</v>
      </c>
    </row>
    <row r="91" spans="1:6">
      <c r="A91" s="4">
        <v>84</v>
      </c>
      <c r="B91" s="36" t="s">
        <v>198</v>
      </c>
      <c r="C91" s="6" t="s">
        <v>268</v>
      </c>
      <c r="D91" s="10">
        <v>2.88</v>
      </c>
      <c r="E91" s="8">
        <v>52.413716922000006</v>
      </c>
      <c r="F91" s="9">
        <v>150.95150473536</v>
      </c>
    </row>
    <row r="92" spans="1:6">
      <c r="A92" s="4">
        <v>85</v>
      </c>
      <c r="B92" s="36" t="s">
        <v>199</v>
      </c>
      <c r="C92" s="20" t="s">
        <v>280</v>
      </c>
      <c r="D92" s="15">
        <v>68</v>
      </c>
      <c r="E92" s="8">
        <v>15.30836332704</v>
      </c>
      <c r="F92" s="9">
        <v>1040.96870623872</v>
      </c>
    </row>
    <row r="93" spans="1:6" ht="28.2">
      <c r="A93" s="4">
        <v>86</v>
      </c>
      <c r="B93" s="36" t="s">
        <v>164</v>
      </c>
      <c r="C93" s="6" t="s">
        <v>269</v>
      </c>
      <c r="D93" s="10">
        <f>0.85+0.82+0.25</f>
        <v>1.92</v>
      </c>
      <c r="E93" s="8">
        <v>134.73352988239202</v>
      </c>
      <c r="F93" s="9">
        <v>258.68837737419267</v>
      </c>
    </row>
    <row r="94" spans="1:6">
      <c r="A94" s="4">
        <v>87</v>
      </c>
      <c r="B94" s="36" t="s">
        <v>165</v>
      </c>
      <c r="C94" s="6" t="s">
        <v>277</v>
      </c>
      <c r="D94" s="15">
        <v>5</v>
      </c>
      <c r="E94" s="8">
        <v>13.02</v>
      </c>
      <c r="F94" s="9">
        <v>65.099999999999994</v>
      </c>
    </row>
    <row r="95" spans="1:6">
      <c r="A95" s="4">
        <v>88</v>
      </c>
      <c r="B95" s="36" t="s">
        <v>200</v>
      </c>
      <c r="C95" s="6" t="s">
        <v>273</v>
      </c>
      <c r="D95" s="10">
        <v>71.400000000000006</v>
      </c>
      <c r="E95" s="8">
        <v>73.351735291207802</v>
      </c>
      <c r="F95" s="9">
        <v>5237.3138997922379</v>
      </c>
    </row>
    <row r="96" spans="1:6">
      <c r="A96" s="41" t="s">
        <v>201</v>
      </c>
      <c r="B96" s="41"/>
      <c r="C96" s="41"/>
      <c r="D96" s="41"/>
      <c r="E96" s="41"/>
      <c r="F96" s="23">
        <f>SUM(F8:F95)</f>
        <v>150104.49218174099</v>
      </c>
    </row>
    <row r="97" spans="1:6" ht="15">
      <c r="A97" s="42" t="s">
        <v>204</v>
      </c>
      <c r="B97" s="42"/>
      <c r="C97" s="42"/>
      <c r="D97" s="42"/>
      <c r="E97" s="42"/>
      <c r="F97" s="42"/>
    </row>
    <row r="98" spans="1:6" ht="28.2">
      <c r="A98" s="4">
        <v>1</v>
      </c>
      <c r="B98" s="36" t="s">
        <v>205</v>
      </c>
      <c r="C98" s="6" t="s">
        <v>267</v>
      </c>
      <c r="D98" s="7">
        <v>200</v>
      </c>
      <c r="E98" s="8">
        <v>1.8386889570000002E-2</v>
      </c>
      <c r="F98" s="9">
        <v>3.6773779140000005</v>
      </c>
    </row>
    <row r="99" spans="1:6">
      <c r="A99" s="4">
        <v>2</v>
      </c>
      <c r="B99" s="36" t="s">
        <v>206</v>
      </c>
      <c r="C99" s="6" t="s">
        <v>268</v>
      </c>
      <c r="D99" s="7">
        <f>760*0.8*0.8</f>
        <v>486.40000000000003</v>
      </c>
      <c r="E99" s="8">
        <v>0.67247248114199998</v>
      </c>
      <c r="F99" s="9">
        <v>327.09061482746881</v>
      </c>
    </row>
    <row r="100" spans="1:6">
      <c r="A100" s="4">
        <v>3</v>
      </c>
      <c r="B100" s="36" t="s">
        <v>207</v>
      </c>
      <c r="C100" s="6" t="s">
        <v>268</v>
      </c>
      <c r="D100" s="7">
        <f>(760*0.8*0.7)</f>
        <v>425.59999999999997</v>
      </c>
      <c r="E100" s="8">
        <v>0.85893175310460013</v>
      </c>
      <c r="F100" s="9">
        <v>365.56135412131778</v>
      </c>
    </row>
    <row r="101" spans="1:6">
      <c r="A101" s="4">
        <v>4</v>
      </c>
      <c r="B101" s="36" t="s">
        <v>208</v>
      </c>
      <c r="C101" s="6" t="s">
        <v>268</v>
      </c>
      <c r="D101" s="10">
        <f>760*0.6*0.1</f>
        <v>45.6</v>
      </c>
      <c r="E101" s="8">
        <v>3.7470791820000007</v>
      </c>
      <c r="F101" s="9">
        <v>170.86681069920004</v>
      </c>
    </row>
    <row r="102" spans="1:6">
      <c r="A102" s="4">
        <v>5</v>
      </c>
      <c r="B102" s="36" t="s">
        <v>197</v>
      </c>
      <c r="C102" s="6" t="s">
        <v>268</v>
      </c>
      <c r="D102" s="10">
        <f>(+D99+D100+D101)-D104-D105</f>
        <v>729.6</v>
      </c>
      <c r="E102" s="8">
        <v>0.6084083856732001</v>
      </c>
      <c r="F102" s="9">
        <v>443.89475818716681</v>
      </c>
    </row>
    <row r="103" spans="1:6">
      <c r="A103" s="4">
        <v>6</v>
      </c>
      <c r="B103" s="36" t="s">
        <v>209</v>
      </c>
      <c r="C103" s="6" t="s">
        <v>270</v>
      </c>
      <c r="D103" s="10">
        <f>D102*1.8</f>
        <v>1313.28</v>
      </c>
      <c r="E103" s="8">
        <v>0.3906</v>
      </c>
      <c r="F103" s="9">
        <v>512.96716800000002</v>
      </c>
    </row>
    <row r="104" spans="1:6" ht="28.2">
      <c r="A104" s="4">
        <v>7</v>
      </c>
      <c r="B104" s="36" t="s">
        <v>210</v>
      </c>
      <c r="C104" s="6" t="s">
        <v>268</v>
      </c>
      <c r="D104" s="12">
        <f>760*0.6*0.1</f>
        <v>45.6</v>
      </c>
      <c r="E104" s="8">
        <v>9.7072004441999997</v>
      </c>
      <c r="F104" s="9">
        <v>442.64834025552</v>
      </c>
    </row>
    <row r="105" spans="1:6" ht="28.2">
      <c r="A105" s="4">
        <v>8</v>
      </c>
      <c r="B105" s="36" t="s">
        <v>211</v>
      </c>
      <c r="C105" s="6" t="s">
        <v>268</v>
      </c>
      <c r="D105" s="14">
        <f>(D104/0.1)*0.4</f>
        <v>182.4</v>
      </c>
      <c r="E105" s="8">
        <v>9.7072004441999997</v>
      </c>
      <c r="F105" s="9">
        <v>1770.59336102208</v>
      </c>
    </row>
    <row r="106" spans="1:6">
      <c r="A106" s="4">
        <v>9</v>
      </c>
      <c r="B106" s="36" t="s">
        <v>169</v>
      </c>
      <c r="C106" s="6" t="s">
        <v>268</v>
      </c>
      <c r="D106" s="7">
        <v>95</v>
      </c>
      <c r="E106" s="8">
        <v>0.35379955199399998</v>
      </c>
      <c r="F106" s="9">
        <v>33.610957439429995</v>
      </c>
    </row>
    <row r="107" spans="1:6" ht="28.2">
      <c r="A107" s="4">
        <v>10</v>
      </c>
      <c r="B107" s="36" t="s">
        <v>212</v>
      </c>
      <c r="C107" s="6" t="s">
        <v>268</v>
      </c>
      <c r="D107" s="7">
        <f>D102</f>
        <v>729.6</v>
      </c>
      <c r="E107" s="8">
        <v>0.42407832990600003</v>
      </c>
      <c r="F107" s="9">
        <v>309.40754949941766</v>
      </c>
    </row>
    <row r="108" spans="1:6">
      <c r="A108" s="4">
        <v>11</v>
      </c>
      <c r="B108" s="36" t="s">
        <v>213</v>
      </c>
      <c r="C108" s="11" t="s">
        <v>25</v>
      </c>
      <c r="D108" s="14">
        <v>10</v>
      </c>
      <c r="E108" s="8">
        <v>0.69544420590959999</v>
      </c>
      <c r="F108" s="9">
        <v>6.9544420590959994</v>
      </c>
    </row>
    <row r="109" spans="1:6" ht="28.2">
      <c r="A109" s="4">
        <v>12</v>
      </c>
      <c r="B109" s="36" t="s">
        <v>214</v>
      </c>
      <c r="C109" s="6" t="s">
        <v>267</v>
      </c>
      <c r="D109" s="12">
        <v>10</v>
      </c>
      <c r="E109" s="8">
        <v>5.7435695971331988</v>
      </c>
      <c r="F109" s="9">
        <v>57.435695971331988</v>
      </c>
    </row>
    <row r="110" spans="1:6" ht="28.2">
      <c r="A110" s="4">
        <v>13</v>
      </c>
      <c r="B110" s="36" t="s">
        <v>215</v>
      </c>
      <c r="C110" s="6" t="s">
        <v>267</v>
      </c>
      <c r="D110" s="12">
        <v>10</v>
      </c>
      <c r="E110" s="8">
        <v>4.0653740936759997</v>
      </c>
      <c r="F110" s="9">
        <v>40.653740936759995</v>
      </c>
    </row>
    <row r="111" spans="1:6" ht="28.2">
      <c r="A111" s="4">
        <v>14</v>
      </c>
      <c r="B111" s="36" t="s">
        <v>216</v>
      </c>
      <c r="C111" s="6" t="s">
        <v>267</v>
      </c>
      <c r="D111" s="15">
        <v>500</v>
      </c>
      <c r="E111" s="8">
        <v>1.7573702544384</v>
      </c>
      <c r="F111" s="9">
        <v>878.68512721920001</v>
      </c>
    </row>
    <row r="112" spans="1:6">
      <c r="A112" s="4">
        <v>15</v>
      </c>
      <c r="B112" s="36" t="s">
        <v>217</v>
      </c>
      <c r="C112" s="11" t="s">
        <v>272</v>
      </c>
      <c r="D112" s="14">
        <v>760</v>
      </c>
      <c r="E112" s="8">
        <v>3.1708238772000006</v>
      </c>
      <c r="F112" s="9">
        <v>2409.8261466720005</v>
      </c>
    </row>
    <row r="113" spans="1:6" ht="28.2">
      <c r="A113" s="4">
        <v>16</v>
      </c>
      <c r="B113" s="36" t="s">
        <v>218</v>
      </c>
      <c r="C113" s="6" t="s">
        <v>268</v>
      </c>
      <c r="D113" s="12">
        <v>0.8</v>
      </c>
      <c r="E113" s="8">
        <v>10.678178297639999</v>
      </c>
      <c r="F113" s="9">
        <v>8.5425426381119998</v>
      </c>
    </row>
    <row r="114" spans="1:6">
      <c r="A114" s="4">
        <v>17</v>
      </c>
      <c r="B114" s="36" t="s">
        <v>219</v>
      </c>
      <c r="C114" s="6" t="s">
        <v>268</v>
      </c>
      <c r="D114" s="10">
        <v>0.8</v>
      </c>
      <c r="E114" s="8">
        <v>43.763472864720008</v>
      </c>
      <c r="F114" s="9">
        <v>35.010778291776006</v>
      </c>
    </row>
    <row r="115" spans="1:6">
      <c r="A115" s="4">
        <v>18</v>
      </c>
      <c r="B115" s="36" t="s">
        <v>220</v>
      </c>
      <c r="C115" s="6" t="s">
        <v>274</v>
      </c>
      <c r="D115" s="15">
        <v>1</v>
      </c>
      <c r="E115" s="8">
        <v>1414.752649884168</v>
      </c>
      <c r="F115" s="9">
        <v>1414.752649884168</v>
      </c>
    </row>
    <row r="116" spans="1:6">
      <c r="A116" s="4">
        <v>19</v>
      </c>
      <c r="B116" s="36" t="s">
        <v>221</v>
      </c>
      <c r="C116" s="11" t="s">
        <v>272</v>
      </c>
      <c r="D116" s="14">
        <v>5.4</v>
      </c>
      <c r="E116" s="8">
        <v>3.2011669351200003</v>
      </c>
      <c r="F116" s="9">
        <v>17.286301449648004</v>
      </c>
    </row>
    <row r="117" spans="1:6" ht="27.6">
      <c r="A117" s="4">
        <v>20</v>
      </c>
      <c r="B117" s="37" t="s">
        <v>222</v>
      </c>
      <c r="C117" s="6" t="s">
        <v>276</v>
      </c>
      <c r="D117" s="10">
        <v>0.2</v>
      </c>
      <c r="E117" s="8">
        <v>83.524291863599998</v>
      </c>
      <c r="F117" s="9">
        <v>16.70485837272</v>
      </c>
    </row>
    <row r="118" spans="1:6" ht="27.6">
      <c r="A118" s="4">
        <v>21</v>
      </c>
      <c r="B118" s="38" t="s">
        <v>223</v>
      </c>
      <c r="C118" s="11" t="s">
        <v>274</v>
      </c>
      <c r="D118" s="16">
        <v>2</v>
      </c>
      <c r="E118" s="8">
        <v>16.575397882680001</v>
      </c>
      <c r="F118" s="9">
        <v>33.150795765360002</v>
      </c>
    </row>
    <row r="119" spans="1:6">
      <c r="A119" s="4">
        <v>22</v>
      </c>
      <c r="B119" s="36" t="s">
        <v>224</v>
      </c>
      <c r="C119" s="11" t="s">
        <v>274</v>
      </c>
      <c r="D119" s="15">
        <v>1</v>
      </c>
      <c r="E119" s="8">
        <v>66.367893198600015</v>
      </c>
      <c r="F119" s="9">
        <v>66.367893198600015</v>
      </c>
    </row>
    <row r="120" spans="1:6" ht="28.2">
      <c r="A120" s="4">
        <v>23</v>
      </c>
      <c r="B120" s="36" t="s">
        <v>225</v>
      </c>
      <c r="C120" s="6" t="s">
        <v>270</v>
      </c>
      <c r="D120" s="17">
        <f>0.005*3</f>
        <v>1.4999999999999999E-2</v>
      </c>
      <c r="E120" s="8">
        <v>2890.0241099519999</v>
      </c>
      <c r="F120" s="9">
        <v>43.350361649279996</v>
      </c>
    </row>
    <row r="121" spans="1:6">
      <c r="A121" s="4">
        <v>24</v>
      </c>
      <c r="B121" s="36" t="s">
        <v>226</v>
      </c>
      <c r="C121" s="6" t="s">
        <v>278</v>
      </c>
      <c r="D121" s="7">
        <v>15</v>
      </c>
      <c r="E121" s="8">
        <v>2.3711578195200005</v>
      </c>
      <c r="F121" s="9">
        <v>35.567367292800007</v>
      </c>
    </row>
    <row r="122" spans="1:6" ht="28.2">
      <c r="A122" s="4">
        <v>25</v>
      </c>
      <c r="B122" s="36" t="s">
        <v>227</v>
      </c>
      <c r="C122" s="6" t="s">
        <v>272</v>
      </c>
      <c r="D122" s="7">
        <v>28</v>
      </c>
      <c r="E122" s="8">
        <v>11.079159405022644</v>
      </c>
      <c r="F122" s="9">
        <v>310.21646334063405</v>
      </c>
    </row>
    <row r="123" spans="1:6">
      <c r="A123" s="4">
        <v>26</v>
      </c>
      <c r="B123" s="36" t="s">
        <v>228</v>
      </c>
      <c r="C123" s="6" t="s">
        <v>277</v>
      </c>
      <c r="D123" s="7">
        <v>5</v>
      </c>
      <c r="E123" s="8">
        <v>12.63228935934</v>
      </c>
      <c r="F123" s="9">
        <v>63.161446796699998</v>
      </c>
    </row>
    <row r="124" spans="1:6">
      <c r="A124" s="4">
        <v>27</v>
      </c>
      <c r="B124" s="36" t="s">
        <v>189</v>
      </c>
      <c r="C124" s="6" t="s">
        <v>268</v>
      </c>
      <c r="D124" s="10">
        <v>0.09</v>
      </c>
      <c r="E124" s="8">
        <v>50.092472991120005</v>
      </c>
      <c r="F124" s="9">
        <v>4.5083225692008</v>
      </c>
    </row>
    <row r="125" spans="1:6">
      <c r="A125" s="4">
        <v>28</v>
      </c>
      <c r="B125" s="36" t="s">
        <v>229</v>
      </c>
      <c r="C125" s="6" t="s">
        <v>272</v>
      </c>
      <c r="D125" s="7">
        <v>760</v>
      </c>
      <c r="E125" s="8">
        <v>0.101511781476</v>
      </c>
      <c r="F125" s="9">
        <v>77.148953921759997</v>
      </c>
    </row>
    <row r="126" spans="1:6">
      <c r="A126" s="4">
        <v>29</v>
      </c>
      <c r="B126" s="36" t="s">
        <v>155</v>
      </c>
      <c r="C126" s="6" t="s">
        <v>272</v>
      </c>
      <c r="D126" s="7">
        <v>760</v>
      </c>
      <c r="E126" s="8">
        <v>0.68128712400000002</v>
      </c>
      <c r="F126" s="9">
        <v>517.77821424000001</v>
      </c>
    </row>
    <row r="127" spans="1:6">
      <c r="A127" s="4">
        <v>30</v>
      </c>
      <c r="B127" s="36" t="s">
        <v>230</v>
      </c>
      <c r="C127" s="11" t="s">
        <v>271</v>
      </c>
      <c r="D127" s="14">
        <v>760</v>
      </c>
      <c r="E127" s="8">
        <v>0.12137223168000003</v>
      </c>
      <c r="F127" s="9">
        <v>92.242896076800022</v>
      </c>
    </row>
    <row r="128" spans="1:6">
      <c r="A128" s="4">
        <v>31</v>
      </c>
      <c r="B128" s="36" t="s">
        <v>158</v>
      </c>
      <c r="C128" s="18" t="s">
        <v>277</v>
      </c>
      <c r="D128" s="16">
        <v>1</v>
      </c>
      <c r="E128" s="8">
        <v>23.2783319664</v>
      </c>
      <c r="F128" s="9">
        <v>23.2783319664</v>
      </c>
    </row>
    <row r="129" spans="1:6" ht="28.2">
      <c r="A129" s="4">
        <v>32</v>
      </c>
      <c r="B129" s="36" t="s">
        <v>231</v>
      </c>
      <c r="C129" s="6" t="s">
        <v>268</v>
      </c>
      <c r="D129" s="7">
        <v>2.2000000000000002</v>
      </c>
      <c r="E129" s="8">
        <v>0.85893175310460013</v>
      </c>
      <c r="F129" s="9">
        <v>1.8896498568301203</v>
      </c>
    </row>
    <row r="130" spans="1:6">
      <c r="A130" s="4">
        <v>33</v>
      </c>
      <c r="B130" s="36" t="s">
        <v>232</v>
      </c>
      <c r="C130" s="6" t="s">
        <v>268</v>
      </c>
      <c r="D130" s="10">
        <v>2.2000000000000002</v>
      </c>
      <c r="E130" s="8">
        <v>0.6084083856732001</v>
      </c>
      <c r="F130" s="9">
        <v>1.3384984484810403</v>
      </c>
    </row>
    <row r="131" spans="1:6">
      <c r="A131" s="4">
        <v>34</v>
      </c>
      <c r="B131" s="36" t="s">
        <v>209</v>
      </c>
      <c r="C131" s="6" t="s">
        <v>270</v>
      </c>
      <c r="D131" s="10">
        <v>2.6</v>
      </c>
      <c r="E131" s="8">
        <v>0.3906</v>
      </c>
      <c r="F131" s="9">
        <v>1.01556</v>
      </c>
    </row>
    <row r="132" spans="1:6">
      <c r="A132" s="4">
        <v>35</v>
      </c>
      <c r="B132" s="36" t="s">
        <v>198</v>
      </c>
      <c r="C132" s="6" t="s">
        <v>268</v>
      </c>
      <c r="D132" s="10">
        <v>0.06</v>
      </c>
      <c r="E132" s="8">
        <v>52.413716922000006</v>
      </c>
      <c r="F132" s="9">
        <v>3.1448230153200001</v>
      </c>
    </row>
    <row r="133" spans="1:6" ht="28.2">
      <c r="A133" s="4">
        <v>36</v>
      </c>
      <c r="B133" s="36" t="s">
        <v>233</v>
      </c>
      <c r="C133" s="20" t="s">
        <v>280</v>
      </c>
      <c r="D133" s="15">
        <v>5</v>
      </c>
      <c r="E133" s="8">
        <v>16.032045258431999</v>
      </c>
      <c r="F133" s="9">
        <v>80.16022629215999</v>
      </c>
    </row>
    <row r="134" spans="1:6" ht="28.2">
      <c r="A134" s="4">
        <v>37</v>
      </c>
      <c r="B134" s="36" t="s">
        <v>234</v>
      </c>
      <c r="C134" s="6" t="s">
        <v>275</v>
      </c>
      <c r="D134" s="7">
        <v>64</v>
      </c>
      <c r="E134" s="8">
        <v>1.3839543900000004</v>
      </c>
      <c r="F134" s="9">
        <v>88.573080960000027</v>
      </c>
    </row>
    <row r="135" spans="1:6" ht="28.2">
      <c r="A135" s="4">
        <v>38</v>
      </c>
      <c r="B135" s="36" t="s">
        <v>235</v>
      </c>
      <c r="C135" s="6" t="s">
        <v>269</v>
      </c>
      <c r="D135" s="10">
        <f>0.03+0.18+0.1</f>
        <v>0.31</v>
      </c>
      <c r="E135" s="8">
        <v>134.73352988239202</v>
      </c>
      <c r="F135" s="9">
        <v>41.767394263541526</v>
      </c>
    </row>
    <row r="136" spans="1:6">
      <c r="A136" s="4">
        <v>39</v>
      </c>
      <c r="B136" s="36" t="s">
        <v>165</v>
      </c>
      <c r="C136" s="6" t="s">
        <v>277</v>
      </c>
      <c r="D136" s="15">
        <v>1</v>
      </c>
      <c r="E136" s="8">
        <v>13.02</v>
      </c>
      <c r="F136" s="9">
        <v>13.02</v>
      </c>
    </row>
    <row r="137" spans="1:6">
      <c r="A137" s="4">
        <v>40</v>
      </c>
      <c r="B137" s="36" t="s">
        <v>166</v>
      </c>
      <c r="C137" s="6" t="s">
        <v>273</v>
      </c>
      <c r="D137" s="10">
        <v>7.68</v>
      </c>
      <c r="E137" s="8">
        <v>73.351735291207802</v>
      </c>
      <c r="F137" s="9">
        <v>563.34132703647595</v>
      </c>
    </row>
    <row r="138" spans="1:6">
      <c r="A138" s="41" t="s">
        <v>201</v>
      </c>
      <c r="B138" s="41"/>
      <c r="C138" s="41"/>
      <c r="D138" s="41"/>
      <c r="E138" s="41"/>
      <c r="F138" s="23">
        <f>SUM(F98:F137)</f>
        <v>11327.192182150757</v>
      </c>
    </row>
    <row r="139" spans="1:6" ht="15">
      <c r="A139" s="44" t="s">
        <v>236</v>
      </c>
      <c r="B139" s="44"/>
      <c r="C139" s="44"/>
      <c r="D139" s="44"/>
      <c r="E139" s="44"/>
      <c r="F139" s="44"/>
    </row>
    <row r="140" spans="1:6" ht="28.2">
      <c r="A140" s="4">
        <v>1</v>
      </c>
      <c r="B140" s="36" t="s">
        <v>205</v>
      </c>
      <c r="C140" s="6" t="s">
        <v>267</v>
      </c>
      <c r="D140" s="7">
        <v>200</v>
      </c>
      <c r="E140" s="8">
        <v>1.8386889570000002E-2</v>
      </c>
      <c r="F140" s="9">
        <v>3.6773779140000005</v>
      </c>
    </row>
    <row r="141" spans="1:6">
      <c r="A141" s="4">
        <v>2</v>
      </c>
      <c r="B141" s="36" t="s">
        <v>237</v>
      </c>
      <c r="C141" s="6" t="s">
        <v>268</v>
      </c>
      <c r="D141" s="7">
        <f>534*0.8*0.8</f>
        <v>341.76000000000005</v>
      </c>
      <c r="E141" s="8">
        <v>0.67247248114199998</v>
      </c>
      <c r="F141" s="9">
        <v>229.82419515508994</v>
      </c>
    </row>
    <row r="142" spans="1:6">
      <c r="A142" s="4">
        <v>3</v>
      </c>
      <c r="B142" s="36" t="s">
        <v>238</v>
      </c>
      <c r="C142" s="6" t="s">
        <v>268</v>
      </c>
      <c r="D142" s="7">
        <f>(534*0.8*0.7)</f>
        <v>299.04000000000002</v>
      </c>
      <c r="E142" s="8">
        <v>0.85893175310460013</v>
      </c>
      <c r="F142" s="9">
        <v>256.85495144839962</v>
      </c>
    </row>
    <row r="143" spans="1:6">
      <c r="A143" s="4">
        <v>4</v>
      </c>
      <c r="B143" s="36" t="s">
        <v>208</v>
      </c>
      <c r="C143" s="6" t="s">
        <v>268</v>
      </c>
      <c r="D143" s="10">
        <f>534*0.6*0.1</f>
        <v>32.04</v>
      </c>
      <c r="E143" s="8">
        <v>3.7470791820000007</v>
      </c>
      <c r="F143" s="9">
        <v>120.05641699128002</v>
      </c>
    </row>
    <row r="144" spans="1:6">
      <c r="A144" s="4">
        <v>5</v>
      </c>
      <c r="B144" s="36" t="s">
        <v>197</v>
      </c>
      <c r="C144" s="6" t="s">
        <v>268</v>
      </c>
      <c r="D144" s="10">
        <f>(+D141+D142+D143)-D146-D147</f>
        <v>512.6400000000001</v>
      </c>
      <c r="E144" s="8">
        <v>0.6084083856732001</v>
      </c>
      <c r="F144" s="9">
        <v>311.89447483150934</v>
      </c>
    </row>
    <row r="145" spans="1:6">
      <c r="A145" s="4">
        <v>6</v>
      </c>
      <c r="B145" s="36" t="s">
        <v>209</v>
      </c>
      <c r="C145" s="6" t="s">
        <v>270</v>
      </c>
      <c r="D145" s="10">
        <f>D144*1.8</f>
        <v>922.75200000000018</v>
      </c>
      <c r="E145" s="8">
        <v>0.3906</v>
      </c>
      <c r="F145" s="9">
        <v>360.42693120000007</v>
      </c>
    </row>
    <row r="146" spans="1:6" ht="28.2">
      <c r="A146" s="4">
        <v>7</v>
      </c>
      <c r="B146" s="36" t="s">
        <v>210</v>
      </c>
      <c r="C146" s="6" t="s">
        <v>268</v>
      </c>
      <c r="D146" s="12">
        <f>534*0.6*0.1</f>
        <v>32.04</v>
      </c>
      <c r="E146" s="8">
        <v>9.7072004441999997</v>
      </c>
      <c r="F146" s="9">
        <v>311.01870223216798</v>
      </c>
    </row>
    <row r="147" spans="1:6" ht="28.2">
      <c r="A147" s="4">
        <v>8</v>
      </c>
      <c r="B147" s="36" t="s">
        <v>239</v>
      </c>
      <c r="C147" s="6" t="s">
        <v>268</v>
      </c>
      <c r="D147" s="14">
        <f>(D146/0.1)*0.4</f>
        <v>128.16</v>
      </c>
      <c r="E147" s="8">
        <v>9.7072004441999997</v>
      </c>
      <c r="F147" s="9">
        <v>1244.0748089286719</v>
      </c>
    </row>
    <row r="148" spans="1:6">
      <c r="A148" s="4">
        <v>9</v>
      </c>
      <c r="B148" s="36" t="s">
        <v>169</v>
      </c>
      <c r="C148" s="6" t="s">
        <v>268</v>
      </c>
      <c r="D148" s="7">
        <v>95</v>
      </c>
      <c r="E148" s="8">
        <v>0.35379955199399998</v>
      </c>
      <c r="F148" s="9">
        <v>33.610957439429995</v>
      </c>
    </row>
    <row r="149" spans="1:6" ht="28.2">
      <c r="A149" s="4">
        <v>10</v>
      </c>
      <c r="B149" s="36" t="s">
        <v>240</v>
      </c>
      <c r="C149" s="6" t="s">
        <v>268</v>
      </c>
      <c r="D149" s="7">
        <f>D144</f>
        <v>512.6400000000001</v>
      </c>
      <c r="E149" s="8">
        <v>0.42407832990600003</v>
      </c>
      <c r="F149" s="9">
        <v>217.39951504301189</v>
      </c>
    </row>
    <row r="150" spans="1:6">
      <c r="A150" s="4">
        <v>11</v>
      </c>
      <c r="B150" s="36" t="s">
        <v>213</v>
      </c>
      <c r="C150" s="11" t="s">
        <v>271</v>
      </c>
      <c r="D150" s="14">
        <v>20</v>
      </c>
      <c r="E150" s="8">
        <v>0.69544420590959999</v>
      </c>
      <c r="F150" s="9">
        <v>13.908884118191999</v>
      </c>
    </row>
    <row r="151" spans="1:6" ht="28.2">
      <c r="A151" s="4">
        <v>12</v>
      </c>
      <c r="B151" s="36" t="s">
        <v>171</v>
      </c>
      <c r="C151" s="6" t="s">
        <v>267</v>
      </c>
      <c r="D151" s="12">
        <v>25</v>
      </c>
      <c r="E151" s="8">
        <v>5.7435695971331988</v>
      </c>
      <c r="F151" s="9">
        <v>143.58923992832996</v>
      </c>
    </row>
    <row r="152" spans="1:6" ht="28.2">
      <c r="A152" s="4">
        <v>13</v>
      </c>
      <c r="B152" s="36" t="s">
        <v>172</v>
      </c>
      <c r="C152" s="6" t="s">
        <v>267</v>
      </c>
      <c r="D152" s="12">
        <v>25</v>
      </c>
      <c r="E152" s="8">
        <v>4.0653740936759997</v>
      </c>
      <c r="F152" s="9">
        <v>101.6343523419</v>
      </c>
    </row>
    <row r="153" spans="1:6" ht="28.2">
      <c r="A153" s="4">
        <v>14</v>
      </c>
      <c r="B153" s="36" t="s">
        <v>173</v>
      </c>
      <c r="C153" s="6" t="s">
        <v>267</v>
      </c>
      <c r="D153" s="15">
        <v>280</v>
      </c>
      <c r="E153" s="8">
        <v>1.7573702544384</v>
      </c>
      <c r="F153" s="9">
        <v>492.06367124275198</v>
      </c>
    </row>
    <row r="154" spans="1:6">
      <c r="A154" s="4">
        <v>15</v>
      </c>
      <c r="B154" s="36" t="s">
        <v>217</v>
      </c>
      <c r="C154" s="11" t="s">
        <v>272</v>
      </c>
      <c r="D154" s="14">
        <v>534</v>
      </c>
      <c r="E154" s="8">
        <v>3.1708238772000006</v>
      </c>
      <c r="F154" s="9">
        <v>1693.2199504248003</v>
      </c>
    </row>
    <row r="155" spans="1:6" ht="27.6">
      <c r="A155" s="4">
        <v>16</v>
      </c>
      <c r="B155" s="37" t="s">
        <v>241</v>
      </c>
      <c r="C155" s="6" t="s">
        <v>276</v>
      </c>
      <c r="D155" s="10">
        <v>0.1</v>
      </c>
      <c r="E155" s="8">
        <v>570.53037147960003</v>
      </c>
      <c r="F155" s="9">
        <v>57.053037147960005</v>
      </c>
    </row>
    <row r="156" spans="1:6" ht="28.2">
      <c r="A156" s="4">
        <v>17</v>
      </c>
      <c r="B156" s="36" t="s">
        <v>218</v>
      </c>
      <c r="C156" s="11" t="s">
        <v>20</v>
      </c>
      <c r="D156" s="12">
        <v>0.8</v>
      </c>
      <c r="E156" s="8">
        <v>10.678178297639999</v>
      </c>
      <c r="F156" s="9">
        <v>8.5425426381119998</v>
      </c>
    </row>
    <row r="157" spans="1:6">
      <c r="A157" s="4">
        <v>18</v>
      </c>
      <c r="B157" s="36" t="s">
        <v>219</v>
      </c>
      <c r="C157" s="6" t="s">
        <v>268</v>
      </c>
      <c r="D157" s="10">
        <v>0.8</v>
      </c>
      <c r="E157" s="8">
        <v>43.763472864720008</v>
      </c>
      <c r="F157" s="9">
        <v>35.010778291776006</v>
      </c>
    </row>
    <row r="158" spans="1:6">
      <c r="A158" s="4">
        <v>19</v>
      </c>
      <c r="B158" s="36" t="s">
        <v>220</v>
      </c>
      <c r="C158" s="6" t="s">
        <v>274</v>
      </c>
      <c r="D158" s="15">
        <v>1</v>
      </c>
      <c r="E158" s="8">
        <v>1414.752649884168</v>
      </c>
      <c r="F158" s="9">
        <v>1414.752649884168</v>
      </c>
    </row>
    <row r="159" spans="1:6">
      <c r="A159" s="4">
        <v>20</v>
      </c>
      <c r="B159" s="36" t="s">
        <v>221</v>
      </c>
      <c r="C159" s="11" t="s">
        <v>272</v>
      </c>
      <c r="D159" s="14">
        <v>5.4</v>
      </c>
      <c r="E159" s="8">
        <v>3.2011669351200003</v>
      </c>
      <c r="F159" s="9">
        <v>17.286301449648004</v>
      </c>
    </row>
    <row r="160" spans="1:6" ht="27.6">
      <c r="A160" s="4">
        <v>21</v>
      </c>
      <c r="B160" s="37" t="s">
        <v>242</v>
      </c>
      <c r="C160" s="6" t="s">
        <v>276</v>
      </c>
      <c r="D160" s="10">
        <v>0.2</v>
      </c>
      <c r="E160" s="8">
        <v>83.524291863599998</v>
      </c>
      <c r="F160" s="9">
        <v>16.70485837272</v>
      </c>
    </row>
    <row r="161" spans="1:6" ht="27.6">
      <c r="A161" s="4">
        <v>22</v>
      </c>
      <c r="B161" s="38" t="s">
        <v>243</v>
      </c>
      <c r="C161" s="11" t="s">
        <v>274</v>
      </c>
      <c r="D161" s="16">
        <v>2</v>
      </c>
      <c r="E161" s="8">
        <v>16.575397882680001</v>
      </c>
      <c r="F161" s="9">
        <v>33.150795765360002</v>
      </c>
    </row>
    <row r="162" spans="1:6">
      <c r="A162" s="4">
        <v>23</v>
      </c>
      <c r="B162" s="36" t="s">
        <v>224</v>
      </c>
      <c r="C162" s="6" t="s">
        <v>274</v>
      </c>
      <c r="D162" s="15">
        <v>1</v>
      </c>
      <c r="E162" s="8">
        <v>66.367893198600015</v>
      </c>
      <c r="F162" s="9">
        <v>66.367893198600015</v>
      </c>
    </row>
    <row r="163" spans="1:6" ht="27.6">
      <c r="A163" s="4">
        <v>24</v>
      </c>
      <c r="B163" s="37" t="s">
        <v>244</v>
      </c>
      <c r="C163" s="6" t="s">
        <v>270</v>
      </c>
      <c r="D163" s="17">
        <f>0.005*3</f>
        <v>1.4999999999999999E-2</v>
      </c>
      <c r="E163" s="8">
        <v>2890.0241099519999</v>
      </c>
      <c r="F163" s="9">
        <v>43.350361649279996</v>
      </c>
    </row>
    <row r="164" spans="1:6">
      <c r="A164" s="4">
        <v>25</v>
      </c>
      <c r="B164" s="36" t="s">
        <v>182</v>
      </c>
      <c r="C164" s="6" t="s">
        <v>278</v>
      </c>
      <c r="D164" s="7">
        <v>10</v>
      </c>
      <c r="E164" s="8">
        <v>2.3711578195200005</v>
      </c>
      <c r="F164" s="9">
        <v>23.711578195200005</v>
      </c>
    </row>
    <row r="165" spans="1:6" ht="28.2">
      <c r="A165" s="4">
        <v>26</v>
      </c>
      <c r="B165" s="36" t="s">
        <v>245</v>
      </c>
      <c r="C165" s="6" t="s">
        <v>39</v>
      </c>
      <c r="D165" s="7">
        <v>8</v>
      </c>
      <c r="E165" s="8">
        <v>11.079159405022644</v>
      </c>
      <c r="F165" s="9">
        <v>88.633275240181149</v>
      </c>
    </row>
    <row r="166" spans="1:6">
      <c r="A166" s="4">
        <v>27</v>
      </c>
      <c r="B166" s="36" t="s">
        <v>228</v>
      </c>
      <c r="C166" s="6" t="s">
        <v>277</v>
      </c>
      <c r="D166" s="7">
        <v>2</v>
      </c>
      <c r="E166" s="8">
        <v>12.63228935934</v>
      </c>
      <c r="F166" s="9">
        <v>25.264578718679999</v>
      </c>
    </row>
    <row r="167" spans="1:6">
      <c r="A167" s="4">
        <v>28</v>
      </c>
      <c r="B167" s="36" t="s">
        <v>189</v>
      </c>
      <c r="C167" s="6" t="s">
        <v>268</v>
      </c>
      <c r="D167" s="10">
        <v>0.09</v>
      </c>
      <c r="E167" s="8">
        <v>50.092472991120005</v>
      </c>
      <c r="F167" s="9">
        <v>4.5083225692008</v>
      </c>
    </row>
    <row r="168" spans="1:6">
      <c r="A168" s="4">
        <v>29</v>
      </c>
      <c r="B168" s="36" t="s">
        <v>229</v>
      </c>
      <c r="C168" s="6" t="s">
        <v>272</v>
      </c>
      <c r="D168" s="7">
        <v>535</v>
      </c>
      <c r="E168" s="8">
        <v>0.101511781476</v>
      </c>
      <c r="F168" s="9">
        <v>54.308803089659996</v>
      </c>
    </row>
    <row r="169" spans="1:6">
      <c r="A169" s="4">
        <v>30</v>
      </c>
      <c r="B169" s="36" t="s">
        <v>155</v>
      </c>
      <c r="C169" s="6" t="s">
        <v>272</v>
      </c>
      <c r="D169" s="7">
        <v>535</v>
      </c>
      <c r="E169" s="8">
        <v>0.68128712400000002</v>
      </c>
      <c r="F169" s="9">
        <v>364.48861134000003</v>
      </c>
    </row>
    <row r="170" spans="1:6">
      <c r="A170" s="4">
        <v>31</v>
      </c>
      <c r="B170" s="36" t="s">
        <v>230</v>
      </c>
      <c r="C170" s="11" t="s">
        <v>271</v>
      </c>
      <c r="D170" s="14">
        <v>535</v>
      </c>
      <c r="E170" s="8">
        <v>0.12137223168000003</v>
      </c>
      <c r="F170" s="9">
        <v>64.934143948800013</v>
      </c>
    </row>
    <row r="171" spans="1:6">
      <c r="A171" s="4">
        <v>32</v>
      </c>
      <c r="B171" s="36" t="s">
        <v>158</v>
      </c>
      <c r="C171" s="18" t="s">
        <v>277</v>
      </c>
      <c r="D171" s="16">
        <v>1</v>
      </c>
      <c r="E171" s="8">
        <v>23.2783319664</v>
      </c>
      <c r="F171" s="9">
        <v>23.2783319664</v>
      </c>
    </row>
    <row r="172" spans="1:6">
      <c r="A172" s="4">
        <v>33</v>
      </c>
      <c r="B172" s="36" t="s">
        <v>238</v>
      </c>
      <c r="C172" s="6" t="s">
        <v>268</v>
      </c>
      <c r="D172" s="7">
        <v>2.2000000000000002</v>
      </c>
      <c r="E172" s="8">
        <v>0.85893175310460013</v>
      </c>
      <c r="F172" s="9">
        <v>1.8896498568301203</v>
      </c>
    </row>
    <row r="173" spans="1:6">
      <c r="A173" s="4">
        <v>34</v>
      </c>
      <c r="B173" s="36" t="s">
        <v>232</v>
      </c>
      <c r="C173" s="6" t="s">
        <v>268</v>
      </c>
      <c r="D173" s="10">
        <v>2.2000000000000002</v>
      </c>
      <c r="E173" s="8">
        <v>0.6084083856732001</v>
      </c>
      <c r="F173" s="9">
        <v>1.3384984484810403</v>
      </c>
    </row>
    <row r="174" spans="1:6">
      <c r="A174" s="4">
        <v>35</v>
      </c>
      <c r="B174" s="36" t="s">
        <v>209</v>
      </c>
      <c r="C174" s="6" t="s">
        <v>270</v>
      </c>
      <c r="D174" s="10">
        <v>2.6</v>
      </c>
      <c r="E174" s="8">
        <v>0.3906</v>
      </c>
      <c r="F174" s="9">
        <v>1.01556</v>
      </c>
    </row>
    <row r="175" spans="1:6">
      <c r="A175" s="4">
        <v>36</v>
      </c>
      <c r="B175" s="36" t="s">
        <v>198</v>
      </c>
      <c r="C175" s="6" t="s">
        <v>268</v>
      </c>
      <c r="D175" s="10">
        <v>0.04</v>
      </c>
      <c r="E175" s="8">
        <v>52.413716922000006</v>
      </c>
      <c r="F175" s="9">
        <v>2.0965486768800004</v>
      </c>
    </row>
    <row r="176" spans="1:6" ht="28.2">
      <c r="A176" s="4">
        <v>37</v>
      </c>
      <c r="B176" s="36" t="s">
        <v>246</v>
      </c>
      <c r="C176" s="20" t="s">
        <v>280</v>
      </c>
      <c r="D176" s="15">
        <v>3</v>
      </c>
      <c r="E176" s="8">
        <v>17.720636431679999</v>
      </c>
      <c r="F176" s="9">
        <v>53.161909295039997</v>
      </c>
    </row>
    <row r="177" spans="1:6" ht="27.6">
      <c r="A177" s="4">
        <v>38</v>
      </c>
      <c r="B177" s="37" t="s">
        <v>247</v>
      </c>
      <c r="C177" s="6" t="s">
        <v>275</v>
      </c>
      <c r="D177" s="7">
        <v>45</v>
      </c>
      <c r="E177" s="8">
        <v>1.3839543900000004</v>
      </c>
      <c r="F177" s="9">
        <v>62.277947550000022</v>
      </c>
    </row>
    <row r="178" spans="1:6" ht="28.2">
      <c r="A178" s="4">
        <v>39</v>
      </c>
      <c r="B178" s="36" t="s">
        <v>235</v>
      </c>
      <c r="C178" s="6" t="s">
        <v>269</v>
      </c>
      <c r="D178" s="10">
        <f>0.03+0.02+0.1</f>
        <v>0.15000000000000002</v>
      </c>
      <c r="E178" s="8">
        <v>134.73352988239202</v>
      </c>
      <c r="F178" s="9">
        <v>20.210029482358806</v>
      </c>
    </row>
    <row r="179" spans="1:6">
      <c r="A179" s="4">
        <v>40</v>
      </c>
      <c r="B179" s="36" t="s">
        <v>165</v>
      </c>
      <c r="C179" s="6" t="s">
        <v>277</v>
      </c>
      <c r="D179" s="15">
        <v>1</v>
      </c>
      <c r="E179" s="8">
        <v>13.02</v>
      </c>
      <c r="F179" s="9">
        <v>13.02</v>
      </c>
    </row>
    <row r="180" spans="1:6">
      <c r="A180" s="4">
        <v>41</v>
      </c>
      <c r="B180" s="36" t="s">
        <v>166</v>
      </c>
      <c r="C180" s="6" t="s">
        <v>273</v>
      </c>
      <c r="D180" s="10">
        <v>5.4</v>
      </c>
      <c r="E180" s="8">
        <v>73.351735291207802</v>
      </c>
      <c r="F180" s="9">
        <v>396.09937057252216</v>
      </c>
    </row>
    <row r="181" spans="1:6">
      <c r="A181" s="41" t="s">
        <v>201</v>
      </c>
      <c r="B181" s="41"/>
      <c r="C181" s="41"/>
      <c r="D181" s="41"/>
      <c r="E181" s="41"/>
      <c r="F181" s="23">
        <f>SUM(F140:F180)</f>
        <v>8425.7108065873908</v>
      </c>
    </row>
    <row r="182" spans="1:6" ht="15">
      <c r="A182" s="44" t="s">
        <v>248</v>
      </c>
      <c r="B182" s="44"/>
      <c r="C182" s="44"/>
      <c r="D182" s="44"/>
      <c r="E182" s="44"/>
      <c r="F182" s="44"/>
    </row>
    <row r="183" spans="1:6" ht="28.2">
      <c r="A183" s="4">
        <v>1</v>
      </c>
      <c r="B183" s="36" t="s">
        <v>205</v>
      </c>
      <c r="C183" s="6" t="s">
        <v>267</v>
      </c>
      <c r="D183" s="7">
        <v>150</v>
      </c>
      <c r="E183" s="8">
        <v>1.8386889570000002E-2</v>
      </c>
      <c r="F183" s="9">
        <v>2.7580334355000002</v>
      </c>
    </row>
    <row r="184" spans="1:6">
      <c r="A184" s="4">
        <v>2</v>
      </c>
      <c r="B184" s="36" t="s">
        <v>237</v>
      </c>
      <c r="C184" s="6" t="s">
        <v>268</v>
      </c>
      <c r="D184" s="7">
        <f>633*0.8*0.8</f>
        <v>405.12000000000006</v>
      </c>
      <c r="E184" s="8">
        <v>0.67247248114199998</v>
      </c>
      <c r="F184" s="9">
        <v>272.43205156024709</v>
      </c>
    </row>
    <row r="185" spans="1:6">
      <c r="A185" s="4">
        <v>3</v>
      </c>
      <c r="B185" s="36" t="s">
        <v>238</v>
      </c>
      <c r="C185" s="6" t="s">
        <v>268</v>
      </c>
      <c r="D185" s="7">
        <f>(633*0.8*0.7)</f>
        <v>354.48</v>
      </c>
      <c r="E185" s="8">
        <v>0.85893175310460013</v>
      </c>
      <c r="F185" s="9">
        <v>304.47412784051869</v>
      </c>
    </row>
    <row r="186" spans="1:6">
      <c r="A186" s="4">
        <v>4</v>
      </c>
      <c r="B186" s="36" t="s">
        <v>208</v>
      </c>
      <c r="C186" s="6" t="s">
        <v>268</v>
      </c>
      <c r="D186" s="10">
        <f>633*0.6*0.1</f>
        <v>37.980000000000004</v>
      </c>
      <c r="E186" s="8">
        <v>3.7470791820000007</v>
      </c>
      <c r="F186" s="9">
        <v>142.31406733236005</v>
      </c>
    </row>
    <row r="187" spans="1:6">
      <c r="A187" s="4">
        <v>5</v>
      </c>
      <c r="B187" s="36" t="s">
        <v>197</v>
      </c>
      <c r="C187" s="6" t="s">
        <v>268</v>
      </c>
      <c r="D187" s="10">
        <f>(+D184+D185+D186)-D189-D190</f>
        <v>607.68000000000006</v>
      </c>
      <c r="E187" s="8">
        <v>0.6084083856732001</v>
      </c>
      <c r="F187" s="9">
        <v>369.71760780589028</v>
      </c>
    </row>
    <row r="188" spans="1:6">
      <c r="A188" s="4">
        <v>6</v>
      </c>
      <c r="B188" s="36" t="s">
        <v>209</v>
      </c>
      <c r="C188" s="6" t="s">
        <v>270</v>
      </c>
      <c r="D188" s="10">
        <f>D187*1.8</f>
        <v>1093.8240000000001</v>
      </c>
      <c r="E188" s="8">
        <v>0.3906</v>
      </c>
      <c r="F188" s="9">
        <v>427.24765440000004</v>
      </c>
    </row>
    <row r="189" spans="1:6" ht="28.2">
      <c r="A189" s="4">
        <v>7</v>
      </c>
      <c r="B189" s="36" t="s">
        <v>210</v>
      </c>
      <c r="C189" s="6" t="s">
        <v>268</v>
      </c>
      <c r="D189" s="12">
        <f>633*0.6*0.1</f>
        <v>37.980000000000004</v>
      </c>
      <c r="E189" s="8">
        <v>9.7072004441999997</v>
      </c>
      <c r="F189" s="9">
        <v>368.67947287071604</v>
      </c>
    </row>
    <row r="190" spans="1:6" ht="28.2">
      <c r="A190" s="4">
        <v>8</v>
      </c>
      <c r="B190" s="36" t="s">
        <v>239</v>
      </c>
      <c r="C190" s="6" t="s">
        <v>268</v>
      </c>
      <c r="D190" s="14">
        <f>(D189/0.1)*0.4</f>
        <v>151.92000000000002</v>
      </c>
      <c r="E190" s="8">
        <v>9.7072004441999997</v>
      </c>
      <c r="F190" s="9">
        <v>1474.7178914828642</v>
      </c>
    </row>
    <row r="191" spans="1:6">
      <c r="A191" s="4">
        <v>9</v>
      </c>
      <c r="B191" s="36" t="s">
        <v>169</v>
      </c>
      <c r="C191" s="6" t="s">
        <v>268</v>
      </c>
      <c r="D191" s="7">
        <f>D192</f>
        <v>607.68000000000006</v>
      </c>
      <c r="E191" s="8">
        <v>0.35379955199399998</v>
      </c>
      <c r="F191" s="9">
        <v>214.99691175571394</v>
      </c>
    </row>
    <row r="192" spans="1:6" ht="28.2">
      <c r="A192" s="4">
        <v>10</v>
      </c>
      <c r="B192" s="36" t="s">
        <v>240</v>
      </c>
      <c r="C192" s="6" t="s">
        <v>268</v>
      </c>
      <c r="D192" s="7">
        <f>D187</f>
        <v>607.68000000000006</v>
      </c>
      <c r="E192" s="8">
        <v>0.42407832990600003</v>
      </c>
      <c r="F192" s="9">
        <v>257.70391951727811</v>
      </c>
    </row>
    <row r="193" spans="1:6">
      <c r="A193" s="4">
        <v>11</v>
      </c>
      <c r="B193" s="36" t="s">
        <v>213</v>
      </c>
      <c r="C193" s="11" t="s">
        <v>271</v>
      </c>
      <c r="D193" s="14">
        <v>20</v>
      </c>
      <c r="E193" s="8">
        <v>0.69544420590959999</v>
      </c>
      <c r="F193" s="9">
        <v>13.908884118191999</v>
      </c>
    </row>
    <row r="194" spans="1:6" ht="28.2">
      <c r="A194" s="4">
        <v>12</v>
      </c>
      <c r="B194" s="36" t="s">
        <v>171</v>
      </c>
      <c r="C194" s="6" t="s">
        <v>267</v>
      </c>
      <c r="D194" s="12">
        <v>25</v>
      </c>
      <c r="E194" s="8">
        <v>5.7435695971331988</v>
      </c>
      <c r="F194" s="9">
        <v>143.58923992832996</v>
      </c>
    </row>
    <row r="195" spans="1:6" ht="28.2">
      <c r="A195" s="4">
        <v>13</v>
      </c>
      <c r="B195" s="36" t="s">
        <v>172</v>
      </c>
      <c r="C195" s="6" t="s">
        <v>267</v>
      </c>
      <c r="D195" s="12">
        <v>25</v>
      </c>
      <c r="E195" s="8">
        <v>4.0653740936759997</v>
      </c>
      <c r="F195" s="9">
        <v>101.6343523419</v>
      </c>
    </row>
    <row r="196" spans="1:6" ht="28.2">
      <c r="A196" s="4">
        <v>14</v>
      </c>
      <c r="B196" s="36" t="s">
        <v>173</v>
      </c>
      <c r="C196" s="6" t="s">
        <v>267</v>
      </c>
      <c r="D196" s="15">
        <v>280</v>
      </c>
      <c r="E196" s="8">
        <v>1.7573702544384</v>
      </c>
      <c r="F196" s="9">
        <v>492.06367124275198</v>
      </c>
    </row>
    <row r="197" spans="1:6">
      <c r="A197" s="4">
        <v>15</v>
      </c>
      <c r="B197" s="36" t="s">
        <v>217</v>
      </c>
      <c r="C197" s="11" t="s">
        <v>272</v>
      </c>
      <c r="D197" s="14">
        <v>633</v>
      </c>
      <c r="E197" s="8">
        <v>3.1708238772000006</v>
      </c>
      <c r="F197" s="9">
        <v>2007.1315142676003</v>
      </c>
    </row>
    <row r="198" spans="1:6" ht="27.6">
      <c r="A198" s="4">
        <v>16</v>
      </c>
      <c r="B198" s="37" t="s">
        <v>241</v>
      </c>
      <c r="C198" s="6" t="s">
        <v>276</v>
      </c>
      <c r="D198" s="10">
        <v>0.1</v>
      </c>
      <c r="E198" s="8">
        <v>570.53037147960003</v>
      </c>
      <c r="F198" s="9">
        <v>57.053037147960005</v>
      </c>
    </row>
    <row r="199" spans="1:6" ht="28.2">
      <c r="A199" s="4">
        <v>17</v>
      </c>
      <c r="B199" s="36" t="s">
        <v>218</v>
      </c>
      <c r="C199" s="6" t="s">
        <v>268</v>
      </c>
      <c r="D199" s="12">
        <v>0.8</v>
      </c>
      <c r="E199" s="8">
        <v>10.678178297639999</v>
      </c>
      <c r="F199" s="9">
        <v>8.5425426381119998</v>
      </c>
    </row>
    <row r="200" spans="1:6">
      <c r="A200" s="4">
        <v>18</v>
      </c>
      <c r="B200" s="36" t="s">
        <v>219</v>
      </c>
      <c r="C200" s="6" t="s">
        <v>268</v>
      </c>
      <c r="D200" s="10">
        <v>0.8</v>
      </c>
      <c r="E200" s="8">
        <v>43.763472864720008</v>
      </c>
      <c r="F200" s="9">
        <v>35.010778291776006</v>
      </c>
    </row>
    <row r="201" spans="1:6">
      <c r="A201" s="4">
        <v>19</v>
      </c>
      <c r="B201" s="36" t="s">
        <v>220</v>
      </c>
      <c r="C201" s="6" t="s">
        <v>274</v>
      </c>
      <c r="D201" s="15">
        <v>1</v>
      </c>
      <c r="E201" s="8">
        <v>1414.752649884168</v>
      </c>
      <c r="F201" s="9">
        <v>1414.752649884168</v>
      </c>
    </row>
    <row r="202" spans="1:6">
      <c r="A202" s="4">
        <v>20</v>
      </c>
      <c r="B202" s="36" t="s">
        <v>249</v>
      </c>
      <c r="C202" s="6" t="s">
        <v>272</v>
      </c>
      <c r="D202" s="7">
        <v>20</v>
      </c>
      <c r="E202" s="8">
        <v>8.2199177718000005</v>
      </c>
      <c r="F202" s="9">
        <v>164.398355436</v>
      </c>
    </row>
    <row r="203" spans="1:6">
      <c r="A203" s="4">
        <v>21</v>
      </c>
      <c r="B203" s="36" t="s">
        <v>250</v>
      </c>
      <c r="C203" s="6" t="s">
        <v>272</v>
      </c>
      <c r="D203" s="7">
        <v>20</v>
      </c>
      <c r="E203" s="8">
        <v>7.56754202652</v>
      </c>
      <c r="F203" s="9">
        <v>151.35084053040001</v>
      </c>
    </row>
    <row r="204" spans="1:6">
      <c r="A204" s="4">
        <v>22</v>
      </c>
      <c r="B204" s="36" t="s">
        <v>251</v>
      </c>
      <c r="C204" s="6" t="s">
        <v>270</v>
      </c>
      <c r="D204" s="17">
        <f>0.004*2+0.005*2+0.0045*2</f>
        <v>2.7000000000000003E-2</v>
      </c>
      <c r="E204" s="8">
        <v>1871.05927232</v>
      </c>
      <c r="F204" s="9">
        <v>50.518600352640007</v>
      </c>
    </row>
    <row r="205" spans="1:6" ht="28.2">
      <c r="A205" s="4">
        <v>23</v>
      </c>
      <c r="B205" s="36" t="s">
        <v>252</v>
      </c>
      <c r="C205" s="6" t="s">
        <v>272</v>
      </c>
      <c r="D205" s="7">
        <v>2.8</v>
      </c>
      <c r="E205" s="8">
        <v>8.2199177718000005</v>
      </c>
      <c r="F205" s="9">
        <v>23.015769761040001</v>
      </c>
    </row>
    <row r="206" spans="1:6">
      <c r="A206" s="4">
        <v>24</v>
      </c>
      <c r="B206" s="36" t="s">
        <v>221</v>
      </c>
      <c r="C206" s="6" t="s">
        <v>272</v>
      </c>
      <c r="D206" s="14">
        <v>5.4</v>
      </c>
      <c r="E206" s="8">
        <v>3.2011669351200003</v>
      </c>
      <c r="F206" s="9">
        <v>17.286301449648004</v>
      </c>
    </row>
    <row r="207" spans="1:6" ht="27.6">
      <c r="A207" s="4">
        <v>25</v>
      </c>
      <c r="B207" s="37" t="s">
        <v>253</v>
      </c>
      <c r="C207" s="6" t="s">
        <v>276</v>
      </c>
      <c r="D207" s="10">
        <v>0.2</v>
      </c>
      <c r="E207" s="8">
        <v>83.524291863599998</v>
      </c>
      <c r="F207" s="9">
        <v>16.70485837272</v>
      </c>
    </row>
    <row r="208" spans="1:6" ht="27.6">
      <c r="A208" s="4">
        <v>26</v>
      </c>
      <c r="B208" s="38" t="s">
        <v>254</v>
      </c>
      <c r="C208" s="11" t="s">
        <v>274</v>
      </c>
      <c r="D208" s="16">
        <v>4</v>
      </c>
      <c r="E208" s="8">
        <v>16.575397882680001</v>
      </c>
      <c r="F208" s="9">
        <v>66.301591530720003</v>
      </c>
    </row>
    <row r="209" spans="1:6">
      <c r="A209" s="4">
        <v>27</v>
      </c>
      <c r="B209" s="36" t="s">
        <v>224</v>
      </c>
      <c r="C209" s="11" t="s">
        <v>274</v>
      </c>
      <c r="D209" s="15">
        <v>1</v>
      </c>
      <c r="E209" s="8">
        <v>66.367893198600015</v>
      </c>
      <c r="F209" s="9">
        <v>66.367893198600015</v>
      </c>
    </row>
    <row r="210" spans="1:6" ht="27.6">
      <c r="A210" s="4">
        <v>28</v>
      </c>
      <c r="B210" s="37" t="s">
        <v>255</v>
      </c>
      <c r="C210" s="6" t="s">
        <v>270</v>
      </c>
      <c r="D210" s="17">
        <f>0.005*3</f>
        <v>1.4999999999999999E-2</v>
      </c>
      <c r="E210" s="8">
        <v>2890.0241099519999</v>
      </c>
      <c r="F210" s="9">
        <v>43.350361649279996</v>
      </c>
    </row>
    <row r="211" spans="1:6">
      <c r="A211" s="4">
        <v>29</v>
      </c>
      <c r="B211" s="36" t="s">
        <v>182</v>
      </c>
      <c r="C211" s="6" t="s">
        <v>278</v>
      </c>
      <c r="D211" s="7">
        <v>10</v>
      </c>
      <c r="E211" s="8">
        <v>2.3711578195200005</v>
      </c>
      <c r="F211" s="9">
        <v>23.711578195200005</v>
      </c>
    </row>
    <row r="212" spans="1:6" ht="28.2">
      <c r="A212" s="4">
        <v>30</v>
      </c>
      <c r="B212" s="36" t="s">
        <v>245</v>
      </c>
      <c r="C212" s="6" t="s">
        <v>272</v>
      </c>
      <c r="D212" s="7">
        <v>8</v>
      </c>
      <c r="E212" s="8">
        <v>11.079159405022644</v>
      </c>
      <c r="F212" s="9">
        <v>88.633275240181149</v>
      </c>
    </row>
    <row r="213" spans="1:6">
      <c r="A213" s="4">
        <v>31</v>
      </c>
      <c r="B213" s="36" t="s">
        <v>228</v>
      </c>
      <c r="C213" s="6" t="s">
        <v>277</v>
      </c>
      <c r="D213" s="15">
        <v>2</v>
      </c>
      <c r="E213" s="8">
        <v>12.63228935934</v>
      </c>
      <c r="F213" s="9">
        <v>25.264578718679999</v>
      </c>
    </row>
    <row r="214" spans="1:6">
      <c r="A214" s="4">
        <v>32</v>
      </c>
      <c r="B214" s="36" t="s">
        <v>256</v>
      </c>
      <c r="C214" s="6" t="s">
        <v>277</v>
      </c>
      <c r="D214" s="7">
        <v>10</v>
      </c>
      <c r="E214" s="8">
        <v>12.63228935934</v>
      </c>
      <c r="F214" s="9">
        <v>126.3228935934</v>
      </c>
    </row>
    <row r="215" spans="1:6">
      <c r="A215" s="4">
        <v>33</v>
      </c>
      <c r="B215" s="36" t="s">
        <v>257</v>
      </c>
      <c r="C215" s="6" t="s">
        <v>268</v>
      </c>
      <c r="D215" s="10">
        <v>1.5</v>
      </c>
      <c r="E215" s="8">
        <v>52.413716922000006</v>
      </c>
      <c r="F215" s="9">
        <v>78.620575383000016</v>
      </c>
    </row>
    <row r="216" spans="1:6">
      <c r="A216" s="4">
        <v>34</v>
      </c>
      <c r="B216" s="36" t="s">
        <v>258</v>
      </c>
      <c r="C216" s="6" t="s">
        <v>272</v>
      </c>
      <c r="D216" s="7">
        <v>10.4</v>
      </c>
      <c r="E216" s="8">
        <v>7.56754202652</v>
      </c>
      <c r="F216" s="9">
        <v>78.702437075808007</v>
      </c>
    </row>
    <row r="217" spans="1:6">
      <c r="A217" s="4">
        <v>35</v>
      </c>
      <c r="B217" s="36" t="s">
        <v>259</v>
      </c>
      <c r="C217" s="6" t="s">
        <v>270</v>
      </c>
      <c r="D217" s="17">
        <v>1.4999999999999999E-2</v>
      </c>
      <c r="E217" s="8">
        <v>772.77154232040004</v>
      </c>
      <c r="F217" s="9">
        <v>11.591573134806</v>
      </c>
    </row>
    <row r="218" spans="1:6">
      <c r="A218" s="4">
        <v>36</v>
      </c>
      <c r="B218" s="36" t="s">
        <v>189</v>
      </c>
      <c r="C218" s="6" t="s">
        <v>268</v>
      </c>
      <c r="D218" s="10">
        <v>0.09</v>
      </c>
      <c r="E218" s="8">
        <v>50.092472991120005</v>
      </c>
      <c r="F218" s="9">
        <v>4.5083225692008</v>
      </c>
    </row>
    <row r="219" spans="1:6">
      <c r="A219" s="4">
        <v>37</v>
      </c>
      <c r="B219" s="36" t="s">
        <v>229</v>
      </c>
      <c r="C219" s="6" t="s">
        <v>272</v>
      </c>
      <c r="D219" s="7">
        <v>633</v>
      </c>
      <c r="E219" s="8">
        <v>0.101511781476</v>
      </c>
      <c r="F219" s="9">
        <v>64.256957674307998</v>
      </c>
    </row>
    <row r="220" spans="1:6">
      <c r="A220" s="4">
        <v>38</v>
      </c>
      <c r="B220" s="36" t="s">
        <v>155</v>
      </c>
      <c r="C220" s="6" t="s">
        <v>272</v>
      </c>
      <c r="D220" s="7">
        <v>633</v>
      </c>
      <c r="E220" s="8">
        <v>0.68128712400000002</v>
      </c>
      <c r="F220" s="9">
        <v>431.25474949200003</v>
      </c>
    </row>
    <row r="221" spans="1:6">
      <c r="A221" s="4">
        <v>39</v>
      </c>
      <c r="B221" s="36" t="s">
        <v>230</v>
      </c>
      <c r="C221" s="11" t="s">
        <v>271</v>
      </c>
      <c r="D221" s="14">
        <v>633</v>
      </c>
      <c r="E221" s="8">
        <v>0.12137223168000003</v>
      </c>
      <c r="F221" s="9">
        <v>76.828622653440021</v>
      </c>
    </row>
    <row r="222" spans="1:6">
      <c r="A222" s="4">
        <v>40</v>
      </c>
      <c r="B222" s="36" t="s">
        <v>158</v>
      </c>
      <c r="C222" s="18" t="s">
        <v>277</v>
      </c>
      <c r="D222" s="16">
        <v>1</v>
      </c>
      <c r="E222" s="8">
        <v>23.2783319664</v>
      </c>
      <c r="F222" s="9">
        <v>23.2783319664</v>
      </c>
    </row>
    <row r="223" spans="1:6">
      <c r="A223" s="4">
        <v>41</v>
      </c>
      <c r="B223" s="36" t="s">
        <v>238</v>
      </c>
      <c r="C223" s="6" t="s">
        <v>268</v>
      </c>
      <c r="D223" s="7">
        <v>2.2000000000000002</v>
      </c>
      <c r="E223" s="8">
        <v>0.85893175310460013</v>
      </c>
      <c r="F223" s="9">
        <v>1.8896498568301203</v>
      </c>
    </row>
    <row r="224" spans="1:6">
      <c r="A224" s="4">
        <v>42</v>
      </c>
      <c r="B224" s="36" t="s">
        <v>232</v>
      </c>
      <c r="C224" s="6" t="s">
        <v>268</v>
      </c>
      <c r="D224" s="10">
        <v>2.2000000000000002</v>
      </c>
      <c r="E224" s="8">
        <v>0.6084083856732001</v>
      </c>
      <c r="F224" s="9">
        <v>1.3384984484810403</v>
      </c>
    </row>
    <row r="225" spans="1:6">
      <c r="A225" s="4">
        <v>43</v>
      </c>
      <c r="B225" s="36" t="s">
        <v>209</v>
      </c>
      <c r="C225" s="6" t="s">
        <v>270</v>
      </c>
      <c r="D225" s="10">
        <v>2.6</v>
      </c>
      <c r="E225" s="8">
        <v>0.3906</v>
      </c>
      <c r="F225" s="9">
        <v>1.01556</v>
      </c>
    </row>
    <row r="226" spans="1:6">
      <c r="A226" s="4">
        <v>44</v>
      </c>
      <c r="B226" s="36" t="s">
        <v>198</v>
      </c>
      <c r="C226" s="6" t="s">
        <v>268</v>
      </c>
      <c r="D226" s="10">
        <v>0.04</v>
      </c>
      <c r="E226" s="8">
        <v>52.413716922000006</v>
      </c>
      <c r="F226" s="9">
        <v>2.0965486768800004</v>
      </c>
    </row>
    <row r="227" spans="1:6" ht="28.2">
      <c r="A227" s="4">
        <v>45</v>
      </c>
      <c r="B227" s="36" t="s">
        <v>260</v>
      </c>
      <c r="C227" s="20" t="s">
        <v>280</v>
      </c>
      <c r="D227" s="15">
        <v>4</v>
      </c>
      <c r="E227" s="8">
        <v>16.514499879359999</v>
      </c>
      <c r="F227" s="9">
        <v>66.057999517439995</v>
      </c>
    </row>
    <row r="228" spans="1:6" ht="28.2">
      <c r="A228" s="4">
        <v>46</v>
      </c>
      <c r="B228" s="36" t="s">
        <v>247</v>
      </c>
      <c r="C228" s="6" t="s">
        <v>275</v>
      </c>
      <c r="D228" s="7">
        <v>43</v>
      </c>
      <c r="E228" s="8">
        <v>1.3839543900000004</v>
      </c>
      <c r="F228" s="9">
        <v>59.510038770000016</v>
      </c>
    </row>
    <row r="229" spans="1:6" ht="28.2">
      <c r="A229" s="4">
        <v>47</v>
      </c>
      <c r="B229" s="36" t="s">
        <v>235</v>
      </c>
      <c r="C229" s="6" t="s">
        <v>269</v>
      </c>
      <c r="D229" s="10">
        <f>0.05+0.05+0.2</f>
        <v>0.30000000000000004</v>
      </c>
      <c r="E229" s="8">
        <v>134.73352988239202</v>
      </c>
      <c r="F229" s="9">
        <v>40.420058964717612</v>
      </c>
    </row>
    <row r="230" spans="1:6">
      <c r="A230" s="4">
        <v>48</v>
      </c>
      <c r="B230" s="36" t="s">
        <v>165</v>
      </c>
      <c r="C230" s="6" t="s">
        <v>277</v>
      </c>
      <c r="D230" s="15">
        <v>1</v>
      </c>
      <c r="E230" s="8">
        <v>13.02</v>
      </c>
      <c r="F230" s="9">
        <v>13.02</v>
      </c>
    </row>
    <row r="231" spans="1:6">
      <c r="A231" s="4">
        <v>49</v>
      </c>
      <c r="B231" s="36" t="s">
        <v>166</v>
      </c>
      <c r="C231" s="6" t="s">
        <v>273</v>
      </c>
      <c r="D231" s="10">
        <v>6.8</v>
      </c>
      <c r="E231" s="8">
        <v>73.351735291207802</v>
      </c>
      <c r="F231" s="9">
        <v>498.79179998021306</v>
      </c>
    </row>
    <row r="232" spans="1:6">
      <c r="A232" s="41" t="s">
        <v>201</v>
      </c>
      <c r="B232" s="41"/>
      <c r="C232" s="41"/>
      <c r="D232" s="41"/>
      <c r="E232" s="41"/>
      <c r="F232" s="23">
        <f>SUM(F183:F231)</f>
        <v>10425.137030053913</v>
      </c>
    </row>
    <row r="233" spans="1:6" ht="15">
      <c r="A233" s="44" t="s">
        <v>261</v>
      </c>
      <c r="B233" s="44"/>
      <c r="C233" s="44"/>
      <c r="D233" s="44"/>
      <c r="E233" s="44"/>
      <c r="F233" s="44"/>
    </row>
    <row r="234" spans="1:6" ht="28.2">
      <c r="A234" s="4">
        <v>1</v>
      </c>
      <c r="B234" s="36" t="s">
        <v>205</v>
      </c>
      <c r="C234" s="6" t="s">
        <v>267</v>
      </c>
      <c r="D234" s="7">
        <v>150</v>
      </c>
      <c r="E234" s="8">
        <v>1.8386889570000002E-2</v>
      </c>
      <c r="F234" s="9">
        <v>2.7580334355000002</v>
      </c>
    </row>
    <row r="235" spans="1:6">
      <c r="A235" s="4">
        <v>2</v>
      </c>
      <c r="B235" s="36" t="s">
        <v>237</v>
      </c>
      <c r="C235" s="6" t="s">
        <v>268</v>
      </c>
      <c r="D235" s="7">
        <f>165*0.8*0.8</f>
        <v>105.60000000000001</v>
      </c>
      <c r="E235" s="8">
        <v>0.67247248114199998</v>
      </c>
      <c r="F235" s="9">
        <v>71.013094008595203</v>
      </c>
    </row>
    <row r="236" spans="1:6">
      <c r="A236" s="4">
        <v>3</v>
      </c>
      <c r="B236" s="36" t="s">
        <v>238</v>
      </c>
      <c r="C236" s="6" t="s">
        <v>268</v>
      </c>
      <c r="D236" s="7">
        <f>(165*0.8*0.7)</f>
        <v>92.399999999999991</v>
      </c>
      <c r="E236" s="8">
        <v>0.85893175310460013</v>
      </c>
      <c r="F236" s="9">
        <v>79.365293986865041</v>
      </c>
    </row>
    <row r="237" spans="1:6">
      <c r="A237" s="4">
        <v>4</v>
      </c>
      <c r="B237" s="36" t="s">
        <v>208</v>
      </c>
      <c r="C237" s="6" t="s">
        <v>268</v>
      </c>
      <c r="D237" s="10">
        <f>165*0.6*0.1</f>
        <v>9.9</v>
      </c>
      <c r="E237" s="8">
        <v>3.7470791820000007</v>
      </c>
      <c r="F237" s="9">
        <v>37.096083901800007</v>
      </c>
    </row>
    <row r="238" spans="1:6">
      <c r="A238" s="4">
        <v>5</v>
      </c>
      <c r="B238" s="36" t="s">
        <v>197</v>
      </c>
      <c r="C238" s="6" t="s">
        <v>268</v>
      </c>
      <c r="D238" s="10">
        <f>(+D235+D236+D237)-D240-D241</f>
        <v>158.4</v>
      </c>
      <c r="E238" s="8">
        <v>0.6084083856732001</v>
      </c>
      <c r="F238" s="9">
        <v>96.371888290634899</v>
      </c>
    </row>
    <row r="239" spans="1:6">
      <c r="A239" s="4">
        <v>6</v>
      </c>
      <c r="B239" s="36" t="s">
        <v>209</v>
      </c>
      <c r="C239" s="6" t="s">
        <v>270</v>
      </c>
      <c r="D239" s="10">
        <f>D238*1.8</f>
        <v>285.12</v>
      </c>
      <c r="E239" s="8">
        <v>0.3906</v>
      </c>
      <c r="F239" s="9">
        <v>111.36787200000001</v>
      </c>
    </row>
    <row r="240" spans="1:6" ht="28.2">
      <c r="A240" s="4">
        <v>7</v>
      </c>
      <c r="B240" s="36" t="s">
        <v>210</v>
      </c>
      <c r="C240" s="6" t="s">
        <v>268</v>
      </c>
      <c r="D240" s="12">
        <f>165*0.6*0.1</f>
        <v>9.9</v>
      </c>
      <c r="E240" s="8">
        <v>9.7072004441999997</v>
      </c>
      <c r="F240" s="9">
        <v>96.101284397580002</v>
      </c>
    </row>
    <row r="241" spans="1:6" ht="28.2">
      <c r="A241" s="4">
        <v>8</v>
      </c>
      <c r="B241" s="36" t="s">
        <v>239</v>
      </c>
      <c r="C241" s="6" t="s">
        <v>268</v>
      </c>
      <c r="D241" s="14">
        <f>(D240/0.1)*0.4</f>
        <v>39.6</v>
      </c>
      <c r="E241" s="8">
        <v>9.7072004441999997</v>
      </c>
      <c r="F241" s="9">
        <v>384.40513759032001</v>
      </c>
    </row>
    <row r="242" spans="1:6">
      <c r="A242" s="4">
        <v>9</v>
      </c>
      <c r="B242" s="36" t="s">
        <v>169</v>
      </c>
      <c r="C242" s="6" t="s">
        <v>268</v>
      </c>
      <c r="D242" s="7">
        <f>D243</f>
        <v>158.4</v>
      </c>
      <c r="E242" s="8">
        <v>0.35379955199399998</v>
      </c>
      <c r="F242" s="9">
        <v>56.041849035849602</v>
      </c>
    </row>
    <row r="243" spans="1:6" ht="28.2">
      <c r="A243" s="4">
        <v>10</v>
      </c>
      <c r="B243" s="36" t="s">
        <v>240</v>
      </c>
      <c r="C243" s="6" t="s">
        <v>268</v>
      </c>
      <c r="D243" s="7">
        <f>D238</f>
        <v>158.4</v>
      </c>
      <c r="E243" s="8">
        <v>0.42407832990600003</v>
      </c>
      <c r="F243" s="9">
        <v>67.174007457110406</v>
      </c>
    </row>
    <row r="244" spans="1:6">
      <c r="A244" s="4">
        <v>11</v>
      </c>
      <c r="B244" s="36" t="s">
        <v>213</v>
      </c>
      <c r="C244" s="11" t="s">
        <v>271</v>
      </c>
      <c r="D244" s="14">
        <v>10</v>
      </c>
      <c r="E244" s="8">
        <v>0.69544420590959999</v>
      </c>
      <c r="F244" s="9">
        <v>6.9544420590959994</v>
      </c>
    </row>
    <row r="245" spans="1:6" ht="28.2">
      <c r="A245" s="4">
        <v>12</v>
      </c>
      <c r="B245" s="36" t="s">
        <v>171</v>
      </c>
      <c r="C245" s="6" t="s">
        <v>267</v>
      </c>
      <c r="D245" s="12">
        <v>10</v>
      </c>
      <c r="E245" s="8">
        <v>5.7435695971331988</v>
      </c>
      <c r="F245" s="9">
        <v>57.435695971331988</v>
      </c>
    </row>
    <row r="246" spans="1:6" ht="28.2">
      <c r="A246" s="4">
        <v>13</v>
      </c>
      <c r="B246" s="36" t="s">
        <v>172</v>
      </c>
      <c r="C246" s="6" t="s">
        <v>267</v>
      </c>
      <c r="D246" s="12">
        <v>10</v>
      </c>
      <c r="E246" s="8">
        <v>4.0653740936759997</v>
      </c>
      <c r="F246" s="9">
        <v>40.653740936759995</v>
      </c>
    </row>
    <row r="247" spans="1:6" ht="28.2">
      <c r="A247" s="4">
        <v>14</v>
      </c>
      <c r="B247" s="36" t="s">
        <v>173</v>
      </c>
      <c r="C247" s="6" t="s">
        <v>267</v>
      </c>
      <c r="D247" s="15">
        <v>150</v>
      </c>
      <c r="E247" s="8">
        <v>1.7573702544384</v>
      </c>
      <c r="F247" s="9">
        <v>263.60553816575998</v>
      </c>
    </row>
    <row r="248" spans="1:6">
      <c r="A248" s="4">
        <v>15</v>
      </c>
      <c r="B248" s="36" t="s">
        <v>217</v>
      </c>
      <c r="C248" s="11" t="s">
        <v>272</v>
      </c>
      <c r="D248" s="14">
        <v>166</v>
      </c>
      <c r="E248" s="8">
        <v>3.1708238772000006</v>
      </c>
      <c r="F248" s="9">
        <v>526.35676361520007</v>
      </c>
    </row>
    <row r="249" spans="1:6" ht="27.6">
      <c r="A249" s="4">
        <v>16</v>
      </c>
      <c r="B249" s="37" t="s">
        <v>241</v>
      </c>
      <c r="C249" s="6" t="s">
        <v>276</v>
      </c>
      <c r="D249" s="10">
        <v>0.1</v>
      </c>
      <c r="E249" s="8">
        <v>570.53037147960003</v>
      </c>
      <c r="F249" s="9">
        <v>57.053037147960005</v>
      </c>
    </row>
    <row r="250" spans="1:6" ht="28.2">
      <c r="A250" s="4">
        <v>17</v>
      </c>
      <c r="B250" s="36" t="s">
        <v>218</v>
      </c>
      <c r="C250" s="6" t="s">
        <v>268</v>
      </c>
      <c r="D250" s="12">
        <v>0.8</v>
      </c>
      <c r="E250" s="8">
        <v>10.678178297639999</v>
      </c>
      <c r="F250" s="9">
        <v>8.5425426381119998</v>
      </c>
    </row>
    <row r="251" spans="1:6">
      <c r="A251" s="4">
        <v>18</v>
      </c>
      <c r="B251" s="36" t="s">
        <v>219</v>
      </c>
      <c r="C251" s="6" t="s">
        <v>268</v>
      </c>
      <c r="D251" s="10">
        <v>0.8</v>
      </c>
      <c r="E251" s="8">
        <v>43.763472864720008</v>
      </c>
      <c r="F251" s="9">
        <v>35.010778291776006</v>
      </c>
    </row>
    <row r="252" spans="1:6">
      <c r="A252" s="4">
        <v>19</v>
      </c>
      <c r="B252" s="36" t="s">
        <v>220</v>
      </c>
      <c r="C252" s="6" t="s">
        <v>274</v>
      </c>
      <c r="D252" s="15">
        <v>1</v>
      </c>
      <c r="E252" s="8">
        <v>1414.752649884168</v>
      </c>
      <c r="F252" s="9">
        <v>1414.752649884168</v>
      </c>
    </row>
    <row r="253" spans="1:6">
      <c r="A253" s="4">
        <v>20</v>
      </c>
      <c r="B253" s="36" t="s">
        <v>221</v>
      </c>
      <c r="C253" s="11" t="s">
        <v>272</v>
      </c>
      <c r="D253" s="14">
        <v>5.4</v>
      </c>
      <c r="E253" s="8">
        <v>3.2011669351200003</v>
      </c>
      <c r="F253" s="9">
        <v>17.286301449648004</v>
      </c>
    </row>
    <row r="254" spans="1:6" ht="27.6">
      <c r="A254" s="4">
        <v>21</v>
      </c>
      <c r="B254" s="37" t="s">
        <v>253</v>
      </c>
      <c r="C254" s="6" t="s">
        <v>276</v>
      </c>
      <c r="D254" s="10">
        <v>0.2</v>
      </c>
      <c r="E254" s="8">
        <v>83.524291863599998</v>
      </c>
      <c r="F254" s="9">
        <v>16.70485837272</v>
      </c>
    </row>
    <row r="255" spans="1:6" ht="33" customHeight="1">
      <c r="A255" s="4">
        <v>22</v>
      </c>
      <c r="B255" s="38" t="s">
        <v>262</v>
      </c>
      <c r="C255" s="11" t="s">
        <v>274</v>
      </c>
      <c r="D255" s="16">
        <v>4</v>
      </c>
      <c r="E255" s="8">
        <v>16.575397882680001</v>
      </c>
      <c r="F255" s="9">
        <v>66.301591530720003</v>
      </c>
    </row>
    <row r="256" spans="1:6">
      <c r="A256" s="4">
        <v>23</v>
      </c>
      <c r="B256" s="36" t="s">
        <v>263</v>
      </c>
      <c r="C256" s="6" t="s">
        <v>274</v>
      </c>
      <c r="D256" s="15">
        <v>1</v>
      </c>
      <c r="E256" s="8">
        <v>66.367893198600015</v>
      </c>
      <c r="F256" s="9">
        <v>66.367893198600015</v>
      </c>
    </row>
    <row r="257" spans="1:6" ht="28.2">
      <c r="A257" s="4">
        <v>24</v>
      </c>
      <c r="B257" s="36" t="s">
        <v>264</v>
      </c>
      <c r="C257" s="6" t="s">
        <v>270</v>
      </c>
      <c r="D257" s="17">
        <f>0.005*3</f>
        <v>1.4999999999999999E-2</v>
      </c>
      <c r="E257" s="8">
        <v>2890.0241099519999</v>
      </c>
      <c r="F257" s="9">
        <v>43.350361649279996</v>
      </c>
    </row>
    <row r="258" spans="1:6" ht="28.2">
      <c r="A258" s="4">
        <v>25</v>
      </c>
      <c r="B258" s="36" t="s">
        <v>265</v>
      </c>
      <c r="C258" s="6" t="s">
        <v>272</v>
      </c>
      <c r="D258" s="7">
        <v>10</v>
      </c>
      <c r="E258" s="8">
        <v>11.079159405022644</v>
      </c>
      <c r="F258" s="9">
        <v>110.79159405022644</v>
      </c>
    </row>
    <row r="259" spans="1:6">
      <c r="A259" s="4">
        <v>26</v>
      </c>
      <c r="B259" s="36" t="s">
        <v>228</v>
      </c>
      <c r="C259" s="6" t="s">
        <v>277</v>
      </c>
      <c r="D259" s="15">
        <v>4</v>
      </c>
      <c r="E259" s="8">
        <v>12.63228935934</v>
      </c>
      <c r="F259" s="9">
        <v>50.529157437359999</v>
      </c>
    </row>
    <row r="260" spans="1:6">
      <c r="A260" s="4">
        <v>27</v>
      </c>
      <c r="B260" s="36" t="s">
        <v>259</v>
      </c>
      <c r="C260" s="6" t="s">
        <v>270</v>
      </c>
      <c r="D260" s="17">
        <v>0.01</v>
      </c>
      <c r="E260" s="8">
        <v>772.77154232040004</v>
      </c>
      <c r="F260" s="9">
        <v>7.7277154232040006</v>
      </c>
    </row>
    <row r="261" spans="1:6">
      <c r="A261" s="4">
        <v>28</v>
      </c>
      <c r="B261" s="36" t="s">
        <v>189</v>
      </c>
      <c r="C261" s="6" t="s">
        <v>268</v>
      </c>
      <c r="D261" s="10">
        <v>0.09</v>
      </c>
      <c r="E261" s="8">
        <v>50.092472991120005</v>
      </c>
      <c r="F261" s="9">
        <v>4.5083225692008</v>
      </c>
    </row>
    <row r="262" spans="1:6">
      <c r="A262" s="4">
        <v>29</v>
      </c>
      <c r="B262" s="36" t="s">
        <v>229</v>
      </c>
      <c r="C262" s="6" t="s">
        <v>272</v>
      </c>
      <c r="D262" s="7">
        <v>165</v>
      </c>
      <c r="E262" s="8">
        <v>0.101511781476</v>
      </c>
      <c r="F262" s="9">
        <v>16.749443943540001</v>
      </c>
    </row>
    <row r="263" spans="1:6">
      <c r="A263" s="4">
        <v>30</v>
      </c>
      <c r="B263" s="36" t="s">
        <v>155</v>
      </c>
      <c r="C263" s="6" t="s">
        <v>272</v>
      </c>
      <c r="D263" s="7">
        <v>165</v>
      </c>
      <c r="E263" s="8">
        <v>0.68128712400000002</v>
      </c>
      <c r="F263" s="9">
        <v>112.41237546000001</v>
      </c>
    </row>
    <row r="264" spans="1:6" ht="20.25" customHeight="1">
      <c r="A264" s="4">
        <v>31</v>
      </c>
      <c r="B264" s="36" t="s">
        <v>230</v>
      </c>
      <c r="C264" s="11" t="s">
        <v>25</v>
      </c>
      <c r="D264" s="14">
        <v>165</v>
      </c>
      <c r="E264" s="8">
        <v>0.12137223168000003</v>
      </c>
      <c r="F264" s="9">
        <v>20.026418227200004</v>
      </c>
    </row>
    <row r="265" spans="1:6">
      <c r="A265" s="4">
        <v>32</v>
      </c>
      <c r="B265" s="36" t="s">
        <v>158</v>
      </c>
      <c r="C265" s="18" t="s">
        <v>277</v>
      </c>
      <c r="D265" s="16">
        <v>1</v>
      </c>
      <c r="E265" s="8">
        <v>23.2783319664</v>
      </c>
      <c r="F265" s="9">
        <v>23.2783319664</v>
      </c>
    </row>
    <row r="266" spans="1:6">
      <c r="A266" s="4">
        <v>33</v>
      </c>
      <c r="B266" s="36" t="s">
        <v>238</v>
      </c>
      <c r="C266" s="6" t="s">
        <v>268</v>
      </c>
      <c r="D266" s="7">
        <v>2.2000000000000002</v>
      </c>
      <c r="E266" s="8">
        <v>0.85893175310460013</v>
      </c>
      <c r="F266" s="9">
        <v>1.8896498568301203</v>
      </c>
    </row>
    <row r="267" spans="1:6">
      <c r="A267" s="4">
        <v>34</v>
      </c>
      <c r="B267" s="36" t="s">
        <v>232</v>
      </c>
      <c r="C267" s="6" t="s">
        <v>268</v>
      </c>
      <c r="D267" s="10">
        <v>2.2000000000000002</v>
      </c>
      <c r="E267" s="8">
        <v>0.6084083856732001</v>
      </c>
      <c r="F267" s="9">
        <v>1.3384984484810403</v>
      </c>
    </row>
    <row r="268" spans="1:6">
      <c r="A268" s="4">
        <v>35</v>
      </c>
      <c r="B268" s="36" t="s">
        <v>209</v>
      </c>
      <c r="C268" s="6" t="s">
        <v>270</v>
      </c>
      <c r="D268" s="10">
        <v>2.6</v>
      </c>
      <c r="E268" s="8">
        <v>0.3906</v>
      </c>
      <c r="F268" s="9">
        <v>1.01556</v>
      </c>
    </row>
    <row r="269" spans="1:6">
      <c r="A269" s="4">
        <v>36</v>
      </c>
      <c r="B269" s="36" t="s">
        <v>198</v>
      </c>
      <c r="C269" s="6" t="s">
        <v>268</v>
      </c>
      <c r="D269" s="10">
        <v>0.04</v>
      </c>
      <c r="E269" s="8">
        <v>52.413716922000006</v>
      </c>
      <c r="F269" s="9">
        <v>2.0965486768800004</v>
      </c>
    </row>
    <row r="270" spans="1:6" ht="28.2">
      <c r="A270" s="4">
        <v>37</v>
      </c>
      <c r="B270" s="36" t="s">
        <v>260</v>
      </c>
      <c r="C270" s="20" t="s">
        <v>280</v>
      </c>
      <c r="D270" s="15">
        <v>4</v>
      </c>
      <c r="E270" s="8">
        <v>15.30836332704</v>
      </c>
      <c r="F270" s="9">
        <v>61.233453308160001</v>
      </c>
    </row>
    <row r="271" spans="1:6" ht="28.2">
      <c r="A271" s="4">
        <v>38</v>
      </c>
      <c r="B271" s="36" t="s">
        <v>247</v>
      </c>
      <c r="C271" s="6" t="s">
        <v>275</v>
      </c>
      <c r="D271" s="15">
        <v>14</v>
      </c>
      <c r="E271" s="8">
        <v>1.3839543900000004</v>
      </c>
      <c r="F271" s="9">
        <v>19.375361460000008</v>
      </c>
    </row>
    <row r="272" spans="1:6" ht="28.2">
      <c r="A272" s="4">
        <v>39</v>
      </c>
      <c r="B272" s="36" t="s">
        <v>235</v>
      </c>
      <c r="C272" s="6" t="s">
        <v>269</v>
      </c>
      <c r="D272" s="17">
        <f>0.05+0.07+0.065</f>
        <v>0.185</v>
      </c>
      <c r="E272" s="8">
        <v>134.73352988239202</v>
      </c>
      <c r="F272" s="9">
        <v>24.925703028242523</v>
      </c>
    </row>
    <row r="273" spans="1:6">
      <c r="A273" s="4">
        <v>40</v>
      </c>
      <c r="B273" s="36" t="s">
        <v>165</v>
      </c>
      <c r="C273" s="6" t="s">
        <v>277</v>
      </c>
      <c r="D273" s="15">
        <v>1</v>
      </c>
      <c r="E273" s="8">
        <v>13.02</v>
      </c>
      <c r="F273" s="9">
        <v>13.02</v>
      </c>
    </row>
    <row r="274" spans="1:6">
      <c r="A274" s="4">
        <v>41</v>
      </c>
      <c r="B274" s="36" t="s">
        <v>166</v>
      </c>
      <c r="C274" s="6" t="s">
        <v>273</v>
      </c>
      <c r="D274" s="10">
        <v>1.85</v>
      </c>
      <c r="E274" s="8">
        <v>73.351735291207802</v>
      </c>
      <c r="F274" s="9">
        <v>135.70071028873443</v>
      </c>
    </row>
    <row r="275" spans="1:6">
      <c r="A275" s="41" t="s">
        <v>201</v>
      </c>
      <c r="B275" s="41"/>
      <c r="C275" s="41"/>
      <c r="D275" s="41"/>
      <c r="E275" s="41"/>
      <c r="F275" s="23">
        <f>SUM(F234:F274)</f>
        <v>4228.6895831598467</v>
      </c>
    </row>
    <row r="276" spans="1:6" ht="15">
      <c r="A276" s="44" t="s">
        <v>266</v>
      </c>
      <c r="B276" s="44"/>
      <c r="C276" s="44"/>
      <c r="D276" s="44"/>
      <c r="E276" s="44"/>
      <c r="F276" s="44"/>
    </row>
    <row r="277" spans="1:6" ht="28.2">
      <c r="A277" s="4">
        <v>1</v>
      </c>
      <c r="B277" s="36" t="s">
        <v>205</v>
      </c>
      <c r="C277" s="6" t="s">
        <v>267</v>
      </c>
      <c r="D277" s="7">
        <v>100</v>
      </c>
      <c r="E277" s="8">
        <v>1.8386889570000002E-2</v>
      </c>
      <c r="F277" s="9">
        <v>1.8386889570000002</v>
      </c>
    </row>
    <row r="278" spans="1:6">
      <c r="A278" s="4">
        <v>2</v>
      </c>
      <c r="B278" s="36" t="s">
        <v>237</v>
      </c>
      <c r="C278" s="6" t="s">
        <v>268</v>
      </c>
      <c r="D278" s="7">
        <f>389*0.8*0.8</f>
        <v>248.96000000000004</v>
      </c>
      <c r="E278" s="8">
        <v>0.67247248114199998</v>
      </c>
      <c r="F278" s="9">
        <v>167.41874890511235</v>
      </c>
    </row>
    <row r="279" spans="1:6">
      <c r="A279" s="4">
        <v>3</v>
      </c>
      <c r="B279" s="36" t="s">
        <v>238</v>
      </c>
      <c r="C279" s="6" t="s">
        <v>268</v>
      </c>
      <c r="D279" s="7">
        <f>(389*0.8*0.7)</f>
        <v>217.84000000000003</v>
      </c>
      <c r="E279" s="8">
        <v>0.85893175310460013</v>
      </c>
      <c r="F279" s="9">
        <v>187.10969309630613</v>
      </c>
    </row>
    <row r="280" spans="1:6">
      <c r="A280" s="4">
        <v>4</v>
      </c>
      <c r="B280" s="36" t="s">
        <v>208</v>
      </c>
      <c r="C280" s="6" t="s">
        <v>268</v>
      </c>
      <c r="D280" s="10">
        <f>389*0.6*0.1</f>
        <v>23.34</v>
      </c>
      <c r="E280" s="8">
        <v>3.7470791820000007</v>
      </c>
      <c r="F280" s="9">
        <v>87.456828107880014</v>
      </c>
    </row>
    <row r="281" spans="1:6">
      <c r="A281" s="4">
        <v>5</v>
      </c>
      <c r="B281" s="36" t="s">
        <v>197</v>
      </c>
      <c r="C281" s="6" t="s">
        <v>268</v>
      </c>
      <c r="D281" s="10">
        <f>(+D278+D279+D280)-D283-D284</f>
        <v>373.44000000000005</v>
      </c>
      <c r="E281" s="8">
        <v>0.6084083856732001</v>
      </c>
      <c r="F281" s="9">
        <v>227.20402754579987</v>
      </c>
    </row>
    <row r="282" spans="1:6">
      <c r="A282" s="4">
        <v>6</v>
      </c>
      <c r="B282" s="36" t="s">
        <v>209</v>
      </c>
      <c r="C282" s="6" t="s">
        <v>270</v>
      </c>
      <c r="D282" s="10">
        <f>D281*1.8</f>
        <v>672.19200000000012</v>
      </c>
      <c r="E282" s="8">
        <v>0.3906</v>
      </c>
      <c r="F282" s="9">
        <v>262.55819520000006</v>
      </c>
    </row>
    <row r="283" spans="1:6" ht="28.2">
      <c r="A283" s="4">
        <v>7</v>
      </c>
      <c r="B283" s="36" t="s">
        <v>210</v>
      </c>
      <c r="C283" s="6" t="s">
        <v>268</v>
      </c>
      <c r="D283" s="12">
        <f>389*0.6*0.1</f>
        <v>23.34</v>
      </c>
      <c r="E283" s="8">
        <v>9.7072004441999997</v>
      </c>
      <c r="F283" s="9">
        <v>226.56605836762799</v>
      </c>
    </row>
    <row r="284" spans="1:6" ht="28.2">
      <c r="A284" s="4">
        <v>8</v>
      </c>
      <c r="B284" s="36" t="s">
        <v>239</v>
      </c>
      <c r="C284" s="6" t="s">
        <v>268</v>
      </c>
      <c r="D284" s="14">
        <f>(D283/0.1)*0.4</f>
        <v>93.36</v>
      </c>
      <c r="E284" s="8">
        <v>9.7072004441999997</v>
      </c>
      <c r="F284" s="9">
        <v>906.26423347051195</v>
      </c>
    </row>
    <row r="285" spans="1:6">
      <c r="A285" s="4">
        <v>9</v>
      </c>
      <c r="B285" s="36" t="s">
        <v>169</v>
      </c>
      <c r="C285" s="6" t="s">
        <v>268</v>
      </c>
      <c r="D285" s="7">
        <f>D286</f>
        <v>373.44000000000005</v>
      </c>
      <c r="E285" s="8">
        <v>0.35379955199399998</v>
      </c>
      <c r="F285" s="9">
        <v>132.12290469663938</v>
      </c>
    </row>
    <row r="286" spans="1:6" ht="28.2">
      <c r="A286" s="4">
        <v>10</v>
      </c>
      <c r="B286" s="36" t="s">
        <v>240</v>
      </c>
      <c r="C286" s="6" t="s">
        <v>268</v>
      </c>
      <c r="D286" s="7">
        <f>D281</f>
        <v>373.44000000000005</v>
      </c>
      <c r="E286" s="8">
        <v>0.42407832990600003</v>
      </c>
      <c r="F286" s="9">
        <v>158.36781152009667</v>
      </c>
    </row>
    <row r="287" spans="1:6">
      <c r="A287" s="4">
        <v>11</v>
      </c>
      <c r="B287" s="36" t="s">
        <v>213</v>
      </c>
      <c r="C287" s="11" t="s">
        <v>271</v>
      </c>
      <c r="D287" s="14">
        <v>20</v>
      </c>
      <c r="E287" s="8">
        <v>0.69544420590959999</v>
      </c>
      <c r="F287" s="9">
        <v>13.908884118191999</v>
      </c>
    </row>
    <row r="288" spans="1:6" ht="28.2">
      <c r="A288" s="4">
        <v>12</v>
      </c>
      <c r="B288" s="36" t="s">
        <v>171</v>
      </c>
      <c r="C288" s="6" t="s">
        <v>267</v>
      </c>
      <c r="D288" s="12">
        <v>20</v>
      </c>
      <c r="E288" s="8">
        <v>5.7435695971331988</v>
      </c>
      <c r="F288" s="9">
        <v>114.87139194266398</v>
      </c>
    </row>
    <row r="289" spans="1:6" ht="28.2">
      <c r="A289" s="4">
        <v>13</v>
      </c>
      <c r="B289" s="36" t="s">
        <v>172</v>
      </c>
      <c r="C289" s="6" t="s">
        <v>267</v>
      </c>
      <c r="D289" s="12">
        <v>20</v>
      </c>
      <c r="E289" s="8">
        <v>4.0653740936759997</v>
      </c>
      <c r="F289" s="9">
        <v>81.30748187351999</v>
      </c>
    </row>
    <row r="290" spans="1:6" ht="28.2">
      <c r="A290" s="4">
        <v>14</v>
      </c>
      <c r="B290" s="36" t="s">
        <v>173</v>
      </c>
      <c r="C290" s="6" t="s">
        <v>267</v>
      </c>
      <c r="D290" s="15">
        <v>150</v>
      </c>
      <c r="E290" s="8">
        <v>1.7573702544384</v>
      </c>
      <c r="F290" s="9">
        <v>263.60553816575998</v>
      </c>
    </row>
    <row r="291" spans="1:6">
      <c r="A291" s="4">
        <v>15</v>
      </c>
      <c r="B291" s="36" t="s">
        <v>217</v>
      </c>
      <c r="C291" s="11" t="s">
        <v>272</v>
      </c>
      <c r="D291" s="14">
        <v>389</v>
      </c>
      <c r="E291" s="8">
        <v>3.1708238772000006</v>
      </c>
      <c r="F291" s="9">
        <v>1233.4504882308001</v>
      </c>
    </row>
    <row r="292" spans="1:6" ht="27.6">
      <c r="A292" s="4">
        <v>16</v>
      </c>
      <c r="B292" s="37" t="s">
        <v>241</v>
      </c>
      <c r="C292" s="6" t="s">
        <v>276</v>
      </c>
      <c r="D292" s="10">
        <v>0.1</v>
      </c>
      <c r="E292" s="8">
        <v>570.53037147960003</v>
      </c>
      <c r="F292" s="9">
        <v>57.053037147960005</v>
      </c>
    </row>
    <row r="293" spans="1:6" ht="28.2">
      <c r="A293" s="4">
        <v>17</v>
      </c>
      <c r="B293" s="36" t="s">
        <v>218</v>
      </c>
      <c r="C293" s="11" t="s">
        <v>20</v>
      </c>
      <c r="D293" s="12">
        <v>0.8</v>
      </c>
      <c r="E293" s="8">
        <v>10.678178297639999</v>
      </c>
      <c r="F293" s="9">
        <v>8.5425426381119998</v>
      </c>
    </row>
    <row r="294" spans="1:6">
      <c r="A294" s="4">
        <v>18</v>
      </c>
      <c r="B294" s="36" t="s">
        <v>219</v>
      </c>
      <c r="C294" s="6" t="s">
        <v>268</v>
      </c>
      <c r="D294" s="10">
        <v>0.8</v>
      </c>
      <c r="E294" s="8">
        <v>43.763472864720008</v>
      </c>
      <c r="F294" s="9">
        <v>35.010778291776006</v>
      </c>
    </row>
    <row r="295" spans="1:6">
      <c r="A295" s="4">
        <v>19</v>
      </c>
      <c r="B295" s="36" t="s">
        <v>220</v>
      </c>
      <c r="C295" s="6" t="s">
        <v>274</v>
      </c>
      <c r="D295" s="15">
        <v>1</v>
      </c>
      <c r="E295" s="8">
        <v>1414.752649884168</v>
      </c>
      <c r="F295" s="9">
        <v>1414.752649884168</v>
      </c>
    </row>
    <row r="296" spans="1:6">
      <c r="A296" s="4">
        <v>20</v>
      </c>
      <c r="B296" s="36" t="s">
        <v>221</v>
      </c>
      <c r="C296" s="11" t="s">
        <v>272</v>
      </c>
      <c r="D296" s="14">
        <v>5.4</v>
      </c>
      <c r="E296" s="8">
        <v>3.2011669351200003</v>
      </c>
      <c r="F296" s="9">
        <v>17.286301449648004</v>
      </c>
    </row>
    <row r="297" spans="1:6" ht="27.6">
      <c r="A297" s="4">
        <v>21</v>
      </c>
      <c r="B297" s="37" t="s">
        <v>253</v>
      </c>
      <c r="C297" s="6" t="s">
        <v>276</v>
      </c>
      <c r="D297" s="10">
        <v>0.2</v>
      </c>
      <c r="E297" s="8">
        <v>83.524291863599998</v>
      </c>
      <c r="F297" s="9">
        <v>16.70485837272</v>
      </c>
    </row>
    <row r="298" spans="1:6" ht="27.6">
      <c r="A298" s="4">
        <v>22</v>
      </c>
      <c r="B298" s="38" t="s">
        <v>254</v>
      </c>
      <c r="C298" s="11" t="s">
        <v>274</v>
      </c>
      <c r="D298" s="16">
        <v>4</v>
      </c>
      <c r="E298" s="8">
        <v>16.575397882680001</v>
      </c>
      <c r="F298" s="9">
        <v>66.301591530720003</v>
      </c>
    </row>
    <row r="299" spans="1:6">
      <c r="A299" s="4">
        <v>23</v>
      </c>
      <c r="B299" s="37" t="s">
        <v>263</v>
      </c>
      <c r="C299" s="6" t="s">
        <v>274</v>
      </c>
      <c r="D299" s="15">
        <v>1</v>
      </c>
      <c r="E299" s="8">
        <v>66.367893198600015</v>
      </c>
      <c r="F299" s="9">
        <v>66.367893198600015</v>
      </c>
    </row>
    <row r="300" spans="1:6" ht="27.6">
      <c r="A300" s="4">
        <v>24</v>
      </c>
      <c r="B300" s="37" t="s">
        <v>264</v>
      </c>
      <c r="C300" s="6" t="s">
        <v>270</v>
      </c>
      <c r="D300" s="17">
        <f>0.005*3</f>
        <v>1.4999999999999999E-2</v>
      </c>
      <c r="E300" s="8">
        <v>2890.0241099519999</v>
      </c>
      <c r="F300" s="9">
        <v>43.350361649279996</v>
      </c>
    </row>
    <row r="301" spans="1:6" ht="28.2">
      <c r="A301" s="4">
        <v>25</v>
      </c>
      <c r="B301" s="36" t="s">
        <v>265</v>
      </c>
      <c r="C301" s="6" t="s">
        <v>272</v>
      </c>
      <c r="D301" s="7">
        <v>16</v>
      </c>
      <c r="E301" s="8">
        <v>11.079159405022644</v>
      </c>
      <c r="F301" s="9">
        <v>177.2665504803623</v>
      </c>
    </row>
    <row r="302" spans="1:6">
      <c r="A302" s="4">
        <v>26</v>
      </c>
      <c r="B302" s="36" t="s">
        <v>228</v>
      </c>
      <c r="C302" s="6" t="s">
        <v>277</v>
      </c>
      <c r="D302" s="15">
        <v>4</v>
      </c>
      <c r="E302" s="8">
        <v>12.63228935934</v>
      </c>
      <c r="F302" s="9">
        <v>50.529157437359999</v>
      </c>
    </row>
    <row r="303" spans="1:6">
      <c r="A303" s="4">
        <v>27</v>
      </c>
      <c r="B303" s="36" t="s">
        <v>259</v>
      </c>
      <c r="C303" s="6" t="s">
        <v>18</v>
      </c>
      <c r="D303" s="17">
        <v>0.01</v>
      </c>
      <c r="E303" s="8">
        <v>772.77154232040004</v>
      </c>
      <c r="F303" s="9">
        <v>7.7277154232040006</v>
      </c>
    </row>
    <row r="304" spans="1:6">
      <c r="A304" s="4">
        <v>28</v>
      </c>
      <c r="B304" s="36" t="s">
        <v>189</v>
      </c>
      <c r="C304" s="6" t="s">
        <v>268</v>
      </c>
      <c r="D304" s="10">
        <v>0.09</v>
      </c>
      <c r="E304" s="8">
        <v>50.092472991120005</v>
      </c>
      <c r="F304" s="9">
        <v>4.5083225692008</v>
      </c>
    </row>
    <row r="305" spans="1:6">
      <c r="A305" s="4">
        <v>29</v>
      </c>
      <c r="B305" s="36" t="s">
        <v>229</v>
      </c>
      <c r="C305" s="6" t="s">
        <v>272</v>
      </c>
      <c r="D305" s="7">
        <v>400</v>
      </c>
      <c r="E305" s="8">
        <v>0.101511781476</v>
      </c>
      <c r="F305" s="9">
        <v>40.604712590399998</v>
      </c>
    </row>
    <row r="306" spans="1:6">
      <c r="A306" s="4">
        <v>30</v>
      </c>
      <c r="B306" s="36" t="s">
        <v>155</v>
      </c>
      <c r="C306" s="6" t="s">
        <v>272</v>
      </c>
      <c r="D306" s="7">
        <v>400</v>
      </c>
      <c r="E306" s="8">
        <v>0.68128712400000002</v>
      </c>
      <c r="F306" s="9">
        <v>272.51484959999999</v>
      </c>
    </row>
    <row r="307" spans="1:6">
      <c r="A307" s="4">
        <v>31</v>
      </c>
      <c r="B307" s="36" t="s">
        <v>230</v>
      </c>
      <c r="C307" s="11" t="s">
        <v>25</v>
      </c>
      <c r="D307" s="14">
        <v>400</v>
      </c>
      <c r="E307" s="8">
        <v>0.12137223168000003</v>
      </c>
      <c r="F307" s="9">
        <v>48.548892672000008</v>
      </c>
    </row>
    <row r="308" spans="1:6">
      <c r="A308" s="4">
        <v>32</v>
      </c>
      <c r="B308" s="36" t="s">
        <v>158</v>
      </c>
      <c r="C308" s="18" t="s">
        <v>277</v>
      </c>
      <c r="D308" s="16">
        <v>1</v>
      </c>
      <c r="E308" s="8">
        <v>23.2783319664</v>
      </c>
      <c r="F308" s="9">
        <v>23.2783319664</v>
      </c>
    </row>
    <row r="309" spans="1:6">
      <c r="A309" s="4">
        <v>33</v>
      </c>
      <c r="B309" s="36" t="s">
        <v>238</v>
      </c>
      <c r="C309" s="6" t="s">
        <v>268</v>
      </c>
      <c r="D309" s="7">
        <v>2.2000000000000002</v>
      </c>
      <c r="E309" s="8">
        <v>0.85893175310460013</v>
      </c>
      <c r="F309" s="9">
        <v>1.8896498568301203</v>
      </c>
    </row>
    <row r="310" spans="1:6">
      <c r="A310" s="4">
        <v>34</v>
      </c>
      <c r="B310" s="36" t="s">
        <v>232</v>
      </c>
      <c r="C310" s="6" t="s">
        <v>268</v>
      </c>
      <c r="D310" s="10">
        <v>2.2000000000000002</v>
      </c>
      <c r="E310" s="8">
        <v>0.6084083856732001</v>
      </c>
      <c r="F310" s="9">
        <v>1.3384984484810403</v>
      </c>
    </row>
    <row r="311" spans="1:6">
      <c r="A311" s="4">
        <v>35</v>
      </c>
      <c r="B311" s="36" t="s">
        <v>209</v>
      </c>
      <c r="C311" s="6" t="s">
        <v>270</v>
      </c>
      <c r="D311" s="10">
        <v>2.6</v>
      </c>
      <c r="E311" s="8">
        <v>0.3906</v>
      </c>
      <c r="F311" s="9">
        <v>1.01556</v>
      </c>
    </row>
    <row r="312" spans="1:6">
      <c r="A312" s="4">
        <v>36</v>
      </c>
      <c r="B312" s="36" t="s">
        <v>198</v>
      </c>
      <c r="C312" s="6" t="s">
        <v>268</v>
      </c>
      <c r="D312" s="10">
        <v>0.04</v>
      </c>
      <c r="E312" s="8">
        <v>52.413716922000006</v>
      </c>
      <c r="F312" s="9">
        <v>2.0965486768800004</v>
      </c>
    </row>
    <row r="313" spans="1:6" ht="28.2">
      <c r="A313" s="4">
        <v>37</v>
      </c>
      <c r="B313" s="36" t="s">
        <v>260</v>
      </c>
      <c r="C313" s="20" t="s">
        <v>280</v>
      </c>
      <c r="D313" s="15">
        <v>4</v>
      </c>
      <c r="E313" s="8">
        <v>15.30836332704</v>
      </c>
      <c r="F313" s="9">
        <v>61.233453308160001</v>
      </c>
    </row>
    <row r="314" spans="1:6" ht="28.2">
      <c r="A314" s="4">
        <v>38</v>
      </c>
      <c r="B314" s="36" t="s">
        <v>247</v>
      </c>
      <c r="C314" s="6" t="s">
        <v>275</v>
      </c>
      <c r="D314" s="15">
        <v>34</v>
      </c>
      <c r="E314" s="8">
        <v>1.3839543900000004</v>
      </c>
      <c r="F314" s="9">
        <v>47.054449260000013</v>
      </c>
    </row>
    <row r="315" spans="1:6" ht="28.2">
      <c r="A315" s="4">
        <v>39</v>
      </c>
      <c r="B315" s="36" t="s">
        <v>235</v>
      </c>
      <c r="C315" s="6" t="s">
        <v>269</v>
      </c>
      <c r="D315" s="17">
        <f>0.05+0.1+0.065</f>
        <v>0.21500000000000002</v>
      </c>
      <c r="E315" s="8">
        <v>134.73352988239202</v>
      </c>
      <c r="F315" s="9">
        <v>28.967708924714287</v>
      </c>
    </row>
    <row r="316" spans="1:6">
      <c r="A316" s="4">
        <v>40</v>
      </c>
      <c r="B316" s="36" t="s">
        <v>165</v>
      </c>
      <c r="C316" s="6" t="s">
        <v>277</v>
      </c>
      <c r="D316" s="15">
        <v>1</v>
      </c>
      <c r="E316" s="8">
        <v>13.02</v>
      </c>
      <c r="F316" s="9">
        <v>13.02</v>
      </c>
    </row>
    <row r="317" spans="1:6">
      <c r="A317" s="4">
        <v>41</v>
      </c>
      <c r="B317" s="36" t="s">
        <v>166</v>
      </c>
      <c r="C317" s="6" t="s">
        <v>272</v>
      </c>
      <c r="D317" s="10">
        <v>4.2</v>
      </c>
      <c r="E317" s="8">
        <v>73.351735291207802</v>
      </c>
      <c r="F317" s="9">
        <v>308.0772882230728</v>
      </c>
    </row>
    <row r="318" spans="1:6">
      <c r="A318" s="41" t="s">
        <v>201</v>
      </c>
      <c r="B318" s="41"/>
      <c r="C318" s="41"/>
      <c r="D318" s="41"/>
      <c r="E318" s="41"/>
      <c r="F318" s="23">
        <f>SUM(F277:F317)</f>
        <v>6879.0926777979594</v>
      </c>
    </row>
    <row r="319" spans="1:6" ht="15">
      <c r="A319" s="25"/>
      <c r="B319" s="26" t="s">
        <v>201</v>
      </c>
      <c r="C319" s="27"/>
      <c r="D319" s="28"/>
      <c r="E319" s="29"/>
      <c r="F319" s="24">
        <f>SUM(F318+F275+F232+F181+F138+F96)</f>
        <v>191390.31446149087</v>
      </c>
    </row>
    <row r="320" spans="1:6" ht="15">
      <c r="A320" s="25"/>
      <c r="B320" s="26" t="s">
        <v>202</v>
      </c>
      <c r="C320" s="39">
        <v>0.2</v>
      </c>
      <c r="D320" s="28"/>
      <c r="E320" s="30"/>
      <c r="F320" s="31">
        <f>F319*0.2</f>
        <v>38278.062892298178</v>
      </c>
    </row>
    <row r="321" spans="1:6" ht="15">
      <c r="A321" s="32"/>
      <c r="B321" s="33" t="s">
        <v>203</v>
      </c>
      <c r="C321" s="34"/>
      <c r="D321" s="34"/>
      <c r="E321" s="32"/>
      <c r="F321" s="28">
        <f>F320+F319</f>
        <v>229668.37735378905</v>
      </c>
    </row>
  </sheetData>
  <mergeCells count="20">
    <mergeCell ref="A1:F1"/>
    <mergeCell ref="A2:F2"/>
    <mergeCell ref="A3:A5"/>
    <mergeCell ref="B3:B5"/>
    <mergeCell ref="C3:C5"/>
    <mergeCell ref="D3:D5"/>
    <mergeCell ref="E3:E5"/>
    <mergeCell ref="F3:F5"/>
    <mergeCell ref="A318:E318"/>
    <mergeCell ref="A7:F7"/>
    <mergeCell ref="A96:E96"/>
    <mergeCell ref="A97:F97"/>
    <mergeCell ref="A138:E138"/>
    <mergeCell ref="A139:F139"/>
    <mergeCell ref="A181:E181"/>
    <mergeCell ref="A182:F182"/>
    <mergeCell ref="A232:E232"/>
    <mergeCell ref="A233:F233"/>
    <mergeCell ref="A275:E275"/>
    <mergeCell ref="A276:F276"/>
  </mergeCells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Հայերեն</vt:lpstr>
      <vt:lpstr>Рус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SmartWave</dc:creator>
  <cp:lastModifiedBy>Admin</cp:lastModifiedBy>
  <dcterms:created xsi:type="dcterms:W3CDTF">2015-06-05T18:17:20Z</dcterms:created>
  <dcterms:modified xsi:type="dcterms:W3CDTF">2025-07-01T09:09:18Z</dcterms:modified>
</cp:coreProperties>
</file>