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yom\Dropbox\Karen\2020\Մրգաշեն\ՄԱՆԿԱՊԱՐՏԵԶ 20-08\"/>
    </mc:Choice>
  </mc:AlternateContent>
  <bookViews>
    <workbookView xWindow="0" yWindow="0" windowWidth="20490" windowHeight="7155" tabRatio="905"/>
  </bookViews>
  <sheets>
    <sheet name="2-1ջ" sheetId="29" r:id="rId1"/>
  </sheets>
  <definedNames>
    <definedName name="_xlnm.Print_Titles" localSheetId="0">'2-1ջ'!$16:$20</definedName>
  </definedNames>
  <calcPr calcId="152511"/>
</workbook>
</file>

<file path=xl/calcChain.xml><?xml version="1.0" encoding="utf-8"?>
<calcChain xmlns="http://schemas.openxmlformats.org/spreadsheetml/2006/main">
  <c r="X258" i="29" l="1"/>
  <c r="X257" i="29"/>
  <c r="X255" i="29"/>
  <c r="X254" i="29"/>
  <c r="X253" i="29"/>
  <c r="X252" i="29"/>
  <c r="X251" i="29"/>
  <c r="X248" i="29"/>
  <c r="X247" i="29"/>
  <c r="X246" i="29"/>
  <c r="X245" i="29"/>
  <c r="X244" i="29"/>
  <c r="X243" i="29"/>
  <c r="X242" i="29"/>
  <c r="X241" i="29"/>
  <c r="X240" i="29"/>
  <c r="X239" i="29"/>
  <c r="X238" i="29"/>
  <c r="X237" i="29"/>
  <c r="X236" i="29"/>
  <c r="X235" i="29"/>
  <c r="X234" i="29"/>
  <c r="X233" i="29"/>
  <c r="X232" i="29"/>
  <c r="X231" i="29"/>
  <c r="X230" i="29"/>
  <c r="X229" i="29"/>
  <c r="X228" i="29"/>
  <c r="X227" i="29"/>
  <c r="X226" i="29"/>
  <c r="X225" i="29"/>
  <c r="X224" i="29"/>
  <c r="X223" i="29"/>
  <c r="X222" i="29"/>
  <c r="X221" i="29"/>
  <c r="X220" i="29"/>
  <c r="X219" i="29"/>
  <c r="X218" i="29"/>
  <c r="X217" i="29"/>
  <c r="X216" i="29"/>
  <c r="X215" i="29"/>
  <c r="X214" i="29"/>
  <c r="X213" i="29"/>
  <c r="X212" i="29"/>
  <c r="X211" i="29"/>
  <c r="X210" i="29"/>
  <c r="X209" i="29"/>
  <c r="X208" i="29"/>
  <c r="X207" i="29"/>
  <c r="X206" i="29"/>
  <c r="X205" i="29"/>
  <c r="X204" i="29"/>
  <c r="X203" i="29"/>
  <c r="X202" i="29"/>
  <c r="X201" i="29"/>
  <c r="X200" i="29"/>
  <c r="X199" i="29"/>
  <c r="X198" i="29"/>
  <c r="X197" i="29"/>
  <c r="X196" i="29"/>
  <c r="X195" i="29"/>
  <c r="X194" i="29"/>
  <c r="X193" i="29"/>
  <c r="X192" i="29"/>
  <c r="X191" i="29"/>
  <c r="X190" i="29"/>
  <c r="X189" i="29"/>
  <c r="X188" i="29"/>
  <c r="X187" i="29"/>
  <c r="X186" i="29"/>
  <c r="X185" i="29"/>
  <c r="X184" i="29"/>
  <c r="X183" i="29"/>
  <c r="X182" i="29"/>
  <c r="X181" i="29"/>
  <c r="X180" i="29"/>
  <c r="X179" i="29"/>
  <c r="X178" i="29"/>
  <c r="X177" i="29"/>
  <c r="X176" i="29"/>
  <c r="X175" i="29"/>
  <c r="X174" i="29"/>
  <c r="X173" i="29"/>
  <c r="X172" i="29"/>
  <c r="X171" i="29"/>
  <c r="X170" i="29"/>
  <c r="X169" i="29"/>
  <c r="X168" i="29"/>
  <c r="X167" i="29"/>
  <c r="X166" i="29"/>
  <c r="X165" i="29"/>
  <c r="X164" i="29"/>
  <c r="X161" i="29"/>
  <c r="X160" i="29"/>
  <c r="X159" i="29"/>
  <c r="X158" i="29"/>
  <c r="X157" i="29"/>
  <c r="X156" i="29"/>
  <c r="X155" i="29"/>
  <c r="X154" i="29"/>
  <c r="X153" i="29"/>
  <c r="X152" i="29"/>
  <c r="X151" i="29"/>
  <c r="X150" i="29"/>
  <c r="X149" i="29"/>
  <c r="X148" i="29"/>
  <c r="X147" i="29"/>
  <c r="X146" i="29"/>
  <c r="X145" i="29"/>
  <c r="X144" i="29"/>
  <c r="X143" i="29"/>
  <c r="X142" i="29"/>
  <c r="X141" i="29"/>
  <c r="X140" i="29"/>
  <c r="X139" i="29"/>
  <c r="X138" i="29"/>
  <c r="X137" i="29"/>
  <c r="X136" i="29"/>
  <c r="X135" i="29"/>
  <c r="X134" i="29"/>
  <c r="X133" i="29"/>
  <c r="X132" i="29"/>
  <c r="X131" i="29"/>
  <c r="X130" i="29"/>
  <c r="X129" i="29"/>
  <c r="X128" i="29"/>
  <c r="X127" i="29"/>
  <c r="X126" i="29"/>
  <c r="X125" i="29"/>
  <c r="X124" i="29"/>
  <c r="X123" i="29"/>
  <c r="X122" i="29"/>
  <c r="X121" i="29"/>
  <c r="X120" i="29"/>
  <c r="X119" i="29"/>
  <c r="X118" i="29"/>
  <c r="X117" i="29"/>
  <c r="X116" i="29"/>
  <c r="X115" i="29"/>
  <c r="X114" i="29"/>
  <c r="X113" i="29"/>
  <c r="X112" i="29"/>
  <c r="X111" i="29"/>
  <c r="X110" i="29"/>
  <c r="X109" i="29"/>
  <c r="X108" i="29"/>
  <c r="X107" i="29"/>
  <c r="X106" i="29"/>
  <c r="X105" i="29"/>
  <c r="X104" i="29"/>
  <c r="X103" i="29"/>
  <c r="X102" i="29"/>
  <c r="X101" i="29"/>
  <c r="X100" i="29"/>
  <c r="X99" i="29"/>
  <c r="X98" i="29"/>
  <c r="X97" i="29"/>
  <c r="X96" i="29"/>
  <c r="X95" i="29"/>
  <c r="X94" i="29"/>
  <c r="X93" i="29"/>
  <c r="X92" i="29"/>
  <c r="X91" i="29"/>
  <c r="X90" i="29"/>
  <c r="X89" i="29"/>
  <c r="X88" i="29"/>
  <c r="X87" i="29"/>
  <c r="X86" i="29"/>
  <c r="X85" i="29"/>
  <c r="X84" i="29"/>
  <c r="X83" i="29"/>
  <c r="X82" i="29"/>
  <c r="X81" i="29"/>
  <c r="X80" i="29"/>
  <c r="X79" i="29"/>
  <c r="X78" i="29"/>
  <c r="X77" i="29"/>
  <c r="X76" i="29"/>
  <c r="X75" i="29"/>
  <c r="X74" i="29"/>
  <c r="X73" i="29"/>
  <c r="X72" i="29"/>
  <c r="X71" i="29"/>
  <c r="X70" i="29"/>
  <c r="X69" i="29"/>
  <c r="X68" i="29"/>
  <c r="X67" i="29"/>
  <c r="X66" i="29"/>
  <c r="X65" i="29"/>
  <c r="X64" i="29"/>
  <c r="X63" i="29"/>
  <c r="X62" i="29"/>
  <c r="X61" i="29"/>
  <c r="X60" i="29"/>
  <c r="X59" i="29"/>
  <c r="X58" i="29"/>
  <c r="X57" i="29"/>
  <c r="X56" i="29"/>
  <c r="X55" i="29"/>
  <c r="X54" i="29"/>
  <c r="X53" i="29"/>
  <c r="X52" i="29"/>
  <c r="X51" i="29"/>
  <c r="X50" i="29"/>
  <c r="X49" i="29"/>
  <c r="X48" i="29"/>
  <c r="X47" i="29"/>
  <c r="X46" i="29"/>
  <c r="X45" i="29"/>
  <c r="X44" i="29"/>
  <c r="X43" i="29"/>
  <c r="X42" i="29"/>
  <c r="X41" i="29"/>
  <c r="X40" i="29"/>
  <c r="X39" i="29"/>
  <c r="X38" i="29"/>
  <c r="X37" i="29"/>
  <c r="X36" i="29"/>
  <c r="X35" i="29"/>
  <c r="X34" i="29"/>
  <c r="X33" i="29"/>
  <c r="X32" i="29"/>
  <c r="X31" i="29"/>
  <c r="X30" i="29"/>
  <c r="X29" i="29"/>
  <c r="X28" i="29"/>
  <c r="X24" i="29"/>
  <c r="X262" i="29" l="1"/>
  <c r="T262" i="29"/>
  <c r="V14" i="29"/>
  <c r="V258" i="29"/>
  <c r="W258" i="29" s="1"/>
  <c r="V257" i="29"/>
  <c r="W257" i="29" s="1"/>
  <c r="W256" i="29"/>
  <c r="X256" i="29" s="1"/>
  <c r="V248" i="29"/>
  <c r="W248" i="29" s="1"/>
  <c r="V247" i="29"/>
  <c r="W247" i="29" s="1"/>
  <c r="V246" i="29"/>
  <c r="W246" i="29" s="1"/>
  <c r="V245" i="29"/>
  <c r="W245" i="29" s="1"/>
  <c r="V161" i="29"/>
  <c r="W161" i="29" s="1"/>
  <c r="V160" i="29"/>
  <c r="W160" i="29" s="1"/>
  <c r="V159" i="29"/>
  <c r="W159" i="29" s="1"/>
  <c r="V158" i="29"/>
  <c r="W158" i="29" s="1"/>
  <c r="G29" i="29"/>
  <c r="N252" i="29"/>
  <c r="N12" i="29" l="1"/>
  <c r="P225" i="29"/>
  <c r="P170" i="29"/>
  <c r="P175" i="29"/>
  <c r="N13" i="29"/>
  <c r="P198" i="29"/>
  <c r="E244" i="29"/>
  <c r="J245" i="29"/>
  <c r="G245" i="29"/>
  <c r="O241" i="29"/>
  <c r="J241" i="29"/>
  <c r="G241" i="29"/>
  <c r="O237" i="29"/>
  <c r="J237" i="29"/>
  <c r="G237" i="29"/>
  <c r="O229" i="29"/>
  <c r="J229" i="29"/>
  <c r="G229" i="29"/>
  <c r="O233" i="29"/>
  <c r="J233" i="29"/>
  <c r="G233" i="29"/>
  <c r="E224" i="29"/>
  <c r="J225" i="29"/>
  <c r="G225" i="29"/>
  <c r="O220" i="29"/>
  <c r="J220" i="29"/>
  <c r="G220" i="29"/>
  <c r="R217" i="29"/>
  <c r="J217" i="29"/>
  <c r="G217" i="29"/>
  <c r="O212" i="29"/>
  <c r="J212" i="29"/>
  <c r="G212" i="29"/>
  <c r="O205" i="29"/>
  <c r="J205" i="29"/>
  <c r="G205" i="29"/>
  <c r="O198" i="29"/>
  <c r="J198" i="29"/>
  <c r="G198" i="29"/>
  <c r="J193" i="29"/>
  <c r="G193" i="29"/>
  <c r="O193" i="29"/>
  <c r="O187" i="29"/>
  <c r="J187" i="29"/>
  <c r="G187" i="29"/>
  <c r="J183" i="29"/>
  <c r="G183" i="29"/>
  <c r="E182" i="29"/>
  <c r="J179" i="29"/>
  <c r="G179" i="29"/>
  <c r="E174" i="29"/>
  <c r="J175" i="29"/>
  <c r="G175" i="29"/>
  <c r="A169" i="29"/>
  <c r="A174" i="29" s="1"/>
  <c r="A178" i="29" s="1"/>
  <c r="A182" i="29" s="1"/>
  <c r="A186" i="29" s="1"/>
  <c r="A192" i="29" s="1"/>
  <c r="A197" i="29" s="1"/>
  <c r="A204" i="29" s="1"/>
  <c r="E169" i="29"/>
  <c r="O170" i="29" s="1"/>
  <c r="J170" i="29"/>
  <c r="G170" i="29"/>
  <c r="O245" i="29" l="1"/>
  <c r="Q212" i="29"/>
  <c r="Q165" i="29"/>
  <c r="Q193" i="29"/>
  <c r="R219" i="29"/>
  <c r="A211" i="29"/>
  <c r="A216" i="29" s="1"/>
  <c r="A219" i="29" s="1"/>
  <c r="A224" i="29" s="1"/>
  <c r="A228" i="29" s="1"/>
  <c r="R240" i="29"/>
  <c r="R236" i="29"/>
  <c r="R165" i="29"/>
  <c r="R216" i="29"/>
  <c r="S216" i="29" s="1"/>
  <c r="R228" i="29"/>
  <c r="R224" i="29"/>
  <c r="R244" i="29"/>
  <c r="R211" i="29"/>
  <c r="R232" i="29"/>
  <c r="R182" i="29"/>
  <c r="O225" i="29"/>
  <c r="R192" i="29"/>
  <c r="R186" i="29"/>
  <c r="R204" i="29"/>
  <c r="R197" i="29"/>
  <c r="R178" i="29"/>
  <c r="O183" i="29"/>
  <c r="O179" i="29"/>
  <c r="R174" i="29"/>
  <c r="O175" i="29"/>
  <c r="R169" i="29"/>
  <c r="J165" i="29"/>
  <c r="G165" i="29"/>
  <c r="O165" i="29"/>
  <c r="T216" i="29" l="1"/>
  <c r="A232" i="29"/>
  <c r="A236" i="29" s="1"/>
  <c r="A240" i="29" s="1"/>
  <c r="A244" i="29" s="1"/>
  <c r="R164" i="29"/>
  <c r="E255" i="29" l="1"/>
  <c r="O256" i="29" s="1"/>
  <c r="N253" i="29"/>
  <c r="O253" i="29" s="1"/>
  <c r="O252" i="29"/>
  <c r="J251" i="29"/>
  <c r="J252" i="29" s="1"/>
  <c r="G251" i="29"/>
  <c r="G252" i="29" s="1"/>
  <c r="A251" i="29"/>
  <c r="A255" i="29" s="1"/>
  <c r="J256" i="29"/>
  <c r="G256" i="29"/>
  <c r="R255" i="29" l="1"/>
  <c r="R251" i="29"/>
  <c r="E96" i="29" l="1"/>
  <c r="Q187" i="29"/>
  <c r="E144" i="29"/>
  <c r="E129" i="29"/>
  <c r="J130" i="29"/>
  <c r="G130" i="29"/>
  <c r="E125" i="29"/>
  <c r="E140" i="29"/>
  <c r="E117" i="29"/>
  <c r="O106" i="29"/>
  <c r="J106" i="29"/>
  <c r="G106" i="29"/>
  <c r="O91" i="29"/>
  <c r="J91" i="29"/>
  <c r="G91" i="29"/>
  <c r="Q245" i="29" l="1"/>
  <c r="R245" i="29" s="1"/>
  <c r="S244" i="29" s="1"/>
  <c r="Q241" i="29"/>
  <c r="R241" i="29" s="1"/>
  <c r="S240" i="29" s="1"/>
  <c r="Q237" i="29"/>
  <c r="R237" i="29" s="1"/>
  <c r="S236" i="29" s="1"/>
  <c r="R212" i="29"/>
  <c r="S211" i="29" s="1"/>
  <c r="Q229" i="29"/>
  <c r="R229" i="29" s="1"/>
  <c r="S228" i="29" s="1"/>
  <c r="Q225" i="29"/>
  <c r="R225" i="29" s="1"/>
  <c r="S224" i="29" s="1"/>
  <c r="Q220" i="29"/>
  <c r="R220" i="29" s="1"/>
  <c r="S219" i="29" s="1"/>
  <c r="Q233" i="29"/>
  <c r="R233" i="29" s="1"/>
  <c r="S232" i="29" s="1"/>
  <c r="R193" i="29"/>
  <c r="S192" i="29" s="1"/>
  <c r="R187" i="29"/>
  <c r="S186" i="29" s="1"/>
  <c r="Q205" i="29"/>
  <c r="R205" i="29" s="1"/>
  <c r="S204" i="29" s="1"/>
  <c r="Q183" i="29"/>
  <c r="R183" i="29" s="1"/>
  <c r="S182" i="29" s="1"/>
  <c r="Q198" i="29"/>
  <c r="R198" i="29" s="1"/>
  <c r="S197" i="29" s="1"/>
  <c r="Q179" i="29"/>
  <c r="R179" i="29" s="1"/>
  <c r="S178" i="29" s="1"/>
  <c r="Q175" i="29"/>
  <c r="R175" i="29" s="1"/>
  <c r="S174" i="29" s="1"/>
  <c r="Q170" i="29"/>
  <c r="R170" i="29" s="1"/>
  <c r="S169" i="29" s="1"/>
  <c r="S164" i="29"/>
  <c r="Q252" i="29"/>
  <c r="Q256" i="29"/>
  <c r="R256" i="29" s="1"/>
  <c r="S255" i="29" s="1"/>
  <c r="Q253" i="29"/>
  <c r="R129" i="29"/>
  <c r="O130" i="29"/>
  <c r="R105" i="29"/>
  <c r="R90" i="29"/>
  <c r="T204" i="29" l="1"/>
  <c r="T182" i="29"/>
  <c r="T197" i="29"/>
  <c r="T228" i="29"/>
  <c r="T236" i="29"/>
  <c r="T211" i="29"/>
  <c r="T178" i="29"/>
  <c r="T174" i="29"/>
  <c r="T232" i="29"/>
  <c r="T164" i="29"/>
  <c r="T192" i="29"/>
  <c r="T244" i="29"/>
  <c r="T255" i="29"/>
  <c r="T224" i="29"/>
  <c r="T219" i="29"/>
  <c r="T169" i="29"/>
  <c r="T186" i="29"/>
  <c r="T240" i="29"/>
  <c r="R252" i="29"/>
  <c r="S251" i="29" s="1"/>
  <c r="Q130" i="29"/>
  <c r="R130" i="29" s="1"/>
  <c r="S129" i="29" s="1"/>
  <c r="J158" i="29"/>
  <c r="G158" i="29"/>
  <c r="O158" i="29"/>
  <c r="J155" i="29"/>
  <c r="G155" i="29"/>
  <c r="R155" i="29"/>
  <c r="O151" i="29"/>
  <c r="J151" i="29"/>
  <c r="G151" i="29"/>
  <c r="O145" i="29"/>
  <c r="J145" i="29"/>
  <c r="G145" i="29"/>
  <c r="O127" i="29"/>
  <c r="J136" i="29"/>
  <c r="G136" i="29"/>
  <c r="J126" i="29"/>
  <c r="G126" i="29"/>
  <c r="J121" i="29"/>
  <c r="G121" i="29"/>
  <c r="J141" i="29"/>
  <c r="G141" i="29"/>
  <c r="O142" i="29"/>
  <c r="J118" i="29"/>
  <c r="G118" i="29"/>
  <c r="O114" i="29"/>
  <c r="J114" i="29"/>
  <c r="G114" i="29"/>
  <c r="O110" i="29"/>
  <c r="J110" i="29"/>
  <c r="G110" i="29"/>
  <c r="O102" i="29"/>
  <c r="J102" i="29"/>
  <c r="G102" i="29"/>
  <c r="O97" i="29"/>
  <c r="J97" i="29"/>
  <c r="G97" i="29"/>
  <c r="O87" i="29"/>
  <c r="J87" i="29"/>
  <c r="G87" i="29"/>
  <c r="O83" i="29"/>
  <c r="J83" i="29"/>
  <c r="G83" i="29"/>
  <c r="O78" i="29"/>
  <c r="J78" i="29"/>
  <c r="G78" i="29"/>
  <c r="O72" i="29"/>
  <c r="J72" i="29"/>
  <c r="G72" i="29"/>
  <c r="O64" i="29"/>
  <c r="J64" i="29"/>
  <c r="G64" i="29"/>
  <c r="O60" i="29"/>
  <c r="J60" i="29"/>
  <c r="G60" i="29"/>
  <c r="O55" i="29"/>
  <c r="J55" i="29"/>
  <c r="G55" i="29"/>
  <c r="O45" i="29"/>
  <c r="J45" i="29"/>
  <c r="G45" i="29"/>
  <c r="A28" i="29"/>
  <c r="A32" i="29" s="1"/>
  <c r="O49" i="29"/>
  <c r="J49" i="29"/>
  <c r="G49" i="29"/>
  <c r="O37" i="29"/>
  <c r="J37" i="29"/>
  <c r="G37" i="29"/>
  <c r="O41" i="29"/>
  <c r="J41" i="29"/>
  <c r="G41" i="29"/>
  <c r="O68" i="29"/>
  <c r="J68" i="29"/>
  <c r="G68" i="29"/>
  <c r="O33" i="29"/>
  <c r="J33" i="29"/>
  <c r="G33" i="29"/>
  <c r="O25" i="29"/>
  <c r="J25" i="29"/>
  <c r="G25" i="29"/>
  <c r="J29" i="29"/>
  <c r="T251" i="29" l="1"/>
  <c r="T259" i="29" s="1"/>
  <c r="W259" i="29"/>
  <c r="T249" i="29"/>
  <c r="W249" i="29"/>
  <c r="T129" i="29"/>
  <c r="Q106" i="29"/>
  <c r="R106" i="29" s="1"/>
  <c r="S105" i="29" s="1"/>
  <c r="Q91" i="29"/>
  <c r="R91" i="29" s="1"/>
  <c r="S90" i="29" s="1"/>
  <c r="Q126" i="29"/>
  <c r="Q141" i="29"/>
  <c r="Q127" i="29"/>
  <c r="Q142" i="29"/>
  <c r="R96" i="29"/>
  <c r="R140" i="29"/>
  <c r="Q97" i="29"/>
  <c r="R97" i="29" s="1"/>
  <c r="R101" i="29"/>
  <c r="Q158" i="29"/>
  <c r="R158" i="29" s="1"/>
  <c r="R113" i="29"/>
  <c r="Q64" i="29"/>
  <c r="R64" i="29" s="1"/>
  <c r="R82" i="29"/>
  <c r="R120" i="29"/>
  <c r="S120" i="29" s="1"/>
  <c r="R109" i="29"/>
  <c r="Q78" i="29"/>
  <c r="R78" i="29" s="1"/>
  <c r="R135" i="29"/>
  <c r="S135" i="29" s="1"/>
  <c r="R86" i="29"/>
  <c r="R144" i="29"/>
  <c r="Q83" i="29"/>
  <c r="R83" i="29" s="1"/>
  <c r="R157" i="29"/>
  <c r="R63" i="29"/>
  <c r="R77" i="29"/>
  <c r="Q60" i="29"/>
  <c r="R60" i="29" s="1"/>
  <c r="Q72" i="29"/>
  <c r="R72" i="29" s="1"/>
  <c r="Q114" i="29"/>
  <c r="R114" i="29" s="1"/>
  <c r="R150" i="29"/>
  <c r="R117" i="29"/>
  <c r="S117" i="29" s="1"/>
  <c r="Q151" i="29"/>
  <c r="R151" i="29" s="1"/>
  <c r="Q87" i="29"/>
  <c r="R87" i="29" s="1"/>
  <c r="Q110" i="29"/>
  <c r="R110" i="29" s="1"/>
  <c r="Q102" i="29"/>
  <c r="R102" i="29" s="1"/>
  <c r="Q145" i="29"/>
  <c r="R145" i="29" s="1"/>
  <c r="R59" i="29"/>
  <c r="R71" i="29"/>
  <c r="R125" i="29"/>
  <c r="R154" i="29"/>
  <c r="S154" i="29" s="1"/>
  <c r="O126" i="29"/>
  <c r="O141" i="29"/>
  <c r="Q55" i="29"/>
  <c r="R55" i="29" s="1"/>
  <c r="R32" i="29"/>
  <c r="R44" i="29"/>
  <c r="Q45" i="29"/>
  <c r="R45" i="29" s="1"/>
  <c r="R54" i="29"/>
  <c r="R28" i="29"/>
  <c r="S28" i="29" s="1"/>
  <c r="R40" i="29"/>
  <c r="A36" i="29"/>
  <c r="A40" i="29" s="1"/>
  <c r="R36" i="29"/>
  <c r="R24" i="29"/>
  <c r="R48" i="29"/>
  <c r="R67" i="29"/>
  <c r="Q37" i="29"/>
  <c r="R37" i="29" s="1"/>
  <c r="Q41" i="29"/>
  <c r="R41" i="29" s="1"/>
  <c r="Q68" i="29"/>
  <c r="R68" i="29" s="1"/>
  <c r="Q33" i="29"/>
  <c r="R33" i="29" s="1"/>
  <c r="Q49" i="29"/>
  <c r="R49" i="29" s="1"/>
  <c r="Q25" i="29"/>
  <c r="R25" i="29" s="1"/>
  <c r="T117" i="29" l="1"/>
  <c r="T28" i="29"/>
  <c r="T120" i="29"/>
  <c r="T154" i="29"/>
  <c r="T105" i="29"/>
  <c r="T135" i="29"/>
  <c r="T90" i="29"/>
  <c r="S96" i="29"/>
  <c r="S101" i="29"/>
  <c r="S109" i="29"/>
  <c r="S157" i="29"/>
  <c r="R141" i="29"/>
  <c r="S140" i="29" s="1"/>
  <c r="R126" i="29"/>
  <c r="S125" i="29" s="1"/>
  <c r="S59" i="29"/>
  <c r="S63" i="29"/>
  <c r="S113" i="29"/>
  <c r="S82" i="29"/>
  <c r="S44" i="29"/>
  <c r="S77" i="29"/>
  <c r="S86" i="29"/>
  <c r="S67" i="29"/>
  <c r="S144" i="29"/>
  <c r="S71" i="29"/>
  <c r="S150" i="29"/>
  <c r="S54" i="29"/>
  <c r="S32" i="29"/>
  <c r="S48" i="29"/>
  <c r="S40" i="29"/>
  <c r="S24" i="29"/>
  <c r="S36" i="29"/>
  <c r="T32" i="29" l="1"/>
  <c r="T48" i="29"/>
  <c r="T40" i="29"/>
  <c r="T86" i="29"/>
  <c r="T140" i="29"/>
  <c r="T109" i="29"/>
  <c r="T77" i="29"/>
  <c r="T157" i="29"/>
  <c r="T24" i="29"/>
  <c r="T67" i="29"/>
  <c r="T36" i="29"/>
  <c r="T59" i="29"/>
  <c r="T63" i="29"/>
  <c r="T150" i="29"/>
  <c r="T113" i="29"/>
  <c r="T96" i="29"/>
  <c r="T44" i="29"/>
  <c r="T125" i="29"/>
  <c r="T144" i="29"/>
  <c r="T71" i="29"/>
  <c r="T54" i="29"/>
  <c r="T82" i="29"/>
  <c r="T101" i="29"/>
  <c r="W162" i="29" l="1"/>
  <c r="W261" i="29" s="1"/>
  <c r="T162" i="29"/>
  <c r="T261" i="29" s="1"/>
  <c r="T263" i="29"/>
  <c r="W262" i="29" l="1"/>
  <c r="W263" i="29" s="1"/>
  <c r="P10" i="29"/>
  <c r="A44" i="29" l="1"/>
  <c r="A48" i="29" s="1"/>
  <c r="A54" i="29" s="1"/>
  <c r="A59" i="29" s="1"/>
  <c r="A63" i="29" s="1"/>
  <c r="A67" i="29" s="1"/>
  <c r="A71" i="29" l="1"/>
  <c r="A77" i="29" s="1"/>
  <c r="A82" i="29" s="1"/>
  <c r="A86" i="29" l="1"/>
  <c r="A90" i="29" l="1"/>
  <c r="A96" i="29" s="1"/>
  <c r="A101" i="29" s="1"/>
  <c r="A105" i="29" l="1"/>
  <c r="A109" i="29" s="1"/>
  <c r="A113" i="29" s="1"/>
  <c r="A117" i="29" s="1"/>
  <c r="A120" i="29" s="1"/>
  <c r="A125" i="29" s="1"/>
  <c r="A129" i="29" s="1"/>
  <c r="A135" i="29" s="1"/>
  <c r="A140" i="29" s="1"/>
  <c r="A144" i="29" l="1"/>
  <c r="A150" i="29" s="1"/>
  <c r="A154" i="29" s="1"/>
  <c r="A157" i="29" s="1"/>
</calcChain>
</file>

<file path=xl/sharedStrings.xml><?xml version="1.0" encoding="utf-8"?>
<sst xmlns="http://schemas.openxmlformats.org/spreadsheetml/2006/main" count="322" uniqueCount="162">
  <si>
    <t>ÐÇÙù</t>
  </si>
  <si>
    <t>ØÇçÇÝ ³ßË³ï³í³ñÓÁ</t>
  </si>
  <si>
    <t>¹ñ³Ù</t>
  </si>
  <si>
    <t>Ü³Ë³Ñ³ßí³ÛÇÝ ³ñÅ»ùÁ</t>
  </si>
  <si>
    <t>ÞÇýñ, ÝáñÙ³-ïÇíÇ Ñ³Ù³ñÁ</t>
  </si>
  <si>
    <t>²ßË³ï³ÝùÝ»ñÇ, Í³Ëë»ñÇ ³Ýí³ÝáõÙÁ ¨ ã³÷Ù³Ý ÙÇ³íáñÁ</t>
  </si>
  <si>
    <t>Ñ³½. ¹ñ³Ù</t>
  </si>
  <si>
    <t>â³÷Ù³Ý ÙÇ³íáñÁ</t>
  </si>
  <si>
    <t>ø³Ý³ÏÁ</t>
  </si>
  <si>
    <t>ÜÛáõÃ»ñÇ ³Ýí³ÝáõÙÁ</t>
  </si>
  <si>
    <t>ÜÛáõÃ»ñÇ ³ñÅ»ùÁ (Ñ³½³ñ ¹ñ³Ù)</t>
  </si>
  <si>
    <t>ÀÝ¹Ñ³ÝáõñÇ ³ñÅ»ùÁ ÙÇ³íáñÇ Ñ³Ù³ñ Ñ³½³ñ ¹ñ³Ù</t>
  </si>
  <si>
    <t>ÀÝ¹Ñ³ÝáõñÇ ³ñÅ»ùÁ Ñ³½³ñ ¹ñ³Ù</t>
  </si>
  <si>
    <t>ÜÛáõÃ»ñÇ ÁÝ¹Ñ³Ýáõñ Í³ËëÁ</t>
  </si>
  <si>
    <t>ØÇ³íáñÇ ³ñÅ»ùÁ Ñ³½³ñ ¹ñ³Ù</t>
  </si>
  <si>
    <t xml:space="preserve">Ð/Ð
</t>
  </si>
  <si>
    <t>²ßË³ï³í³ñÓÇ ÙÇ³íáñÁ éáõµ./Ñ³½³ñ ¹ñ³Ù</t>
  </si>
  <si>
    <t>²ßË³ï³í³ñÓÇ ÙÇ³íáñÇ ³ñÅ»ùÁ Ñ³½³ñ ¹ñ³Ù</t>
  </si>
  <si>
    <t>Ø»ù»Ý. ß³Ñ³·áñÍÙ³Ý ÙÇ³íáñÁ 
éáõµ./Ñ³½³ñ ¹ñ³Ù</t>
  </si>
  <si>
    <t>ø³Ý³ÏÁ  ÙÇ³íáñÇ Ñ³Ù³ñ</t>
  </si>
  <si>
    <t xml:space="preserve">Անցումային գործակիցները: </t>
  </si>
  <si>
    <t>աշխատավարձի -</t>
  </si>
  <si>
    <t>մեքենաների շահագործման -</t>
  </si>
  <si>
    <t>մ3</t>
  </si>
  <si>
    <t>100մ2</t>
  </si>
  <si>
    <t>տ</t>
  </si>
  <si>
    <t>Ընդամենը</t>
  </si>
  <si>
    <t>ի.տ.</t>
  </si>
  <si>
    <t>մ2</t>
  </si>
  <si>
    <t>հատ</t>
  </si>
  <si>
    <t>կգ</t>
  </si>
  <si>
    <t>մ</t>
  </si>
  <si>
    <t>100մ</t>
  </si>
  <si>
    <t>Ընդամենը նախահաշվով</t>
  </si>
  <si>
    <t>Կազմեց`</t>
  </si>
  <si>
    <t>Օ. Յաղուբյան</t>
  </si>
  <si>
    <t>կոմպ</t>
  </si>
  <si>
    <t>E46-50</t>
  </si>
  <si>
    <t>18-8</t>
  </si>
  <si>
    <t>E46-69</t>
  </si>
  <si>
    <t>22-1</t>
  </si>
  <si>
    <t xml:space="preserve">տախտակներ </t>
  </si>
  <si>
    <t>E16-262</t>
  </si>
  <si>
    <t>ծանր բետոն B20</t>
  </si>
  <si>
    <r>
      <t>¶</t>
    </r>
    <r>
      <rPr>
        <vertAlign val="subscript"/>
        <sz val="10"/>
        <rFont val="Arial LatArm"/>
        <family val="2"/>
      </rPr>
      <t>ïñ³Ýëåáñï</t>
    </r>
    <r>
      <rPr>
        <b/>
        <sz val="10"/>
        <rFont val="Arial LatArm"/>
        <family val="2"/>
      </rPr>
      <t xml:space="preserve"> =</t>
    </r>
  </si>
  <si>
    <t xml:space="preserve">Անցքի  վերականգնում  ծածկերում  </t>
  </si>
  <si>
    <t>Անցքի  վերականգնում    պատերում</t>
  </si>
  <si>
    <t>յուղաներկ</t>
  </si>
  <si>
    <t>1-1</t>
  </si>
  <si>
    <t>E46-99</t>
  </si>
  <si>
    <t>E6-1-2</t>
  </si>
  <si>
    <t>´»ïáÝ» Ñ³ï³ÏÝ»ñÇ í»ñ³Ï³Ý·ÝáõÙ</t>
  </si>
  <si>
    <t>նախագիծ</t>
  </si>
  <si>
    <t>E16-135</t>
  </si>
  <si>
    <t>E16-134</t>
  </si>
  <si>
    <t>12-1</t>
  </si>
  <si>
    <t>E15-614</t>
  </si>
  <si>
    <t>Մետաղական  խողովակների յուղաներկում երկու անգամ</t>
  </si>
  <si>
    <t>164-8</t>
  </si>
  <si>
    <t>E26-16</t>
  </si>
  <si>
    <t>4-3</t>
  </si>
  <si>
    <t>ֆոլգապատ հանքաբամբակ</t>
  </si>
  <si>
    <t>22</t>
  </si>
  <si>
    <t>5-1</t>
  </si>
  <si>
    <t>E16-261</t>
  </si>
  <si>
    <t>24-1</t>
  </si>
  <si>
    <t>E18-112</t>
  </si>
  <si>
    <t>էկմ</t>
  </si>
  <si>
    <t>ինֆ.տեղ.</t>
  </si>
  <si>
    <t>սենկ</t>
  </si>
  <si>
    <t>Ալյումինե ջեռուցման մարտկոցների H=500մմ</t>
  </si>
  <si>
    <t>սեկց</t>
  </si>
  <si>
    <t>Մարտկոցների միացման կոմպլեկտ</t>
  </si>
  <si>
    <t>Կախիչ</t>
  </si>
  <si>
    <t xml:space="preserve">Օդահան կափույր
</t>
  </si>
  <si>
    <t>Պոլիորոպիլենե փայլաթիթեղով ամրանավորված խողովակ  Փ20x2.3</t>
  </si>
  <si>
    <t>Պոլիպրոպիլենային խողովակների ձևավոր մասեր</t>
  </si>
  <si>
    <t>E16-220</t>
  </si>
  <si>
    <t>փական 20մմ</t>
  </si>
  <si>
    <t>ú¹³Ñ³Ý Íáñ³Ýª ö 15</t>
  </si>
  <si>
    <t>Ø³ñïÏáóÝ»ñÇ ÏáÙåÉ»ïª/ Ëó³÷³ÏÇ, Ï³ËÇã, ÝÇå»É, ÙÇç³¹Çñ/</t>
  </si>
  <si>
    <t>ö³ÏáÕ ÷³Ï³Ýª ö20 ¦³Ù»ñÇÏ³ÝÏ³§ /åáÉÇåñáåÇÉ»Ý-Ù»ï³Õ/</t>
  </si>
  <si>
    <t>ÊáÕáí³Ïª ö25 /åáÉÇåñáåÇÉ»Ý ï³ù çñÇ Ã³Õ³ÝÃáí/ Ï³Ý·Ý³Ï</t>
  </si>
  <si>
    <t>ö25 åáÉÇåñáåÇÉ»Ý Ó¨³íáñ Ù³ë»ñ /³ÝÏ, »é³μ., Ë³Ùáõï.../</t>
  </si>
  <si>
    <t>Î³ñ·³íáñÇã ÷³Ï³Ýª ö25 ¦³Ù»ñÇÏ³ÝÏ³§ /åáÉÇåñáåÇÉ»Ý-Ù»ï³Õ/</t>
  </si>
  <si>
    <t>փական 25մմ</t>
  </si>
  <si>
    <t>ö³ÏáÕ ÷³Ï³Ýª ö25 ¦³Ù»ñÇÏ³ÝÏ³§ /åáÉÇåñáåÇÉ»Ý-Ù»ï³Õ/</t>
  </si>
  <si>
    <t>ÊáÕáí³Ïª ö20 /åáÉÇåñáåÇÉ»Ý ï³ù çñÇ Ã³Õ³ÝÃáí/ ³éμ»ñÇãÝ»ñ</t>
  </si>
  <si>
    <t>ö20 åáÉÇåñáåÇÉ»Ý Ó¨³íáñ Ù³ë»ñ /³ÝÏ, »é³μ., Ë³Ùáõï.../</t>
  </si>
  <si>
    <t>äáÕå³ï» ëáղÝ³Ïª ö 40</t>
  </si>
  <si>
    <t>սողնակ d=40 մմ</t>
  </si>
  <si>
    <t>æ»éáõóÙ³Ý Ñ³Ù³Ï³ñ·Ç ÷áñÓ³ñÏáõÙ, ÷³Ï³Ý³ÛÇÝ Ñ³Ù³Ï³ñ·Ç Ï³ñ·-ñáõÙ</t>
  </si>
  <si>
    <t xml:space="preserve">Անցքի բացում պատերում </t>
  </si>
  <si>
    <t>´»ïáÝ» Ñ³ï³ÏÇ ù³Ý¹áõÙ</t>
  </si>
  <si>
    <t>æºèàôòØ²Ü Ð²Ø²Î²ð¶</t>
  </si>
  <si>
    <t>Պոլիորոպիլենե փայլաթիթեղով ամրանավորված խողովակ  Փ25</t>
  </si>
  <si>
    <t xml:space="preserve">§Россия Alum 500 ª 183 í³ï¦ ³ÉÛáõÙÇÝ» ë»ÏóÇ³Ý»ññ </t>
  </si>
  <si>
    <t>Ø³ñïÏáóÝ»ñÇ ÙáÝï³ÅáõÙª</t>
  </si>
  <si>
    <t>Î³ñ·³íáñÇã ÷³Ï³Ýª ö20 §³Ù»ñÇÏ³ÝÏ³ ¦ /åáÉÇåñáåÇÉ»Ý-Ù»ï³Õ/</t>
  </si>
  <si>
    <t>äáÕåáï» ö108 ÙÙ ËáÕáí³ÏÇ ÙáÝï³ÅáõÙ</t>
  </si>
  <si>
    <t>ÊáÕáí³Ïª ö40 /åáÉÇåñáåÇÉ»Ý ï³ù çñÇ Ã³Õ³ÝÃáí/ ³éμ»ñÇãÝ»ñ</t>
  </si>
  <si>
    <t>Պոլիորոպիլենե փայլաթիթեղով ամրանավորված խողովակ  Փ40x2.3</t>
  </si>
  <si>
    <t>E16-85</t>
  </si>
  <si>
    <t>E16-264</t>
  </si>
  <si>
    <t>äáÕå³ï» ë·áÝª ö25</t>
  </si>
  <si>
    <t>äáÕå³ï» ë·áÝª ö40</t>
  </si>
  <si>
    <t>äáÕå³ï» ëáղÝ³Ïª ö 25</t>
  </si>
  <si>
    <t>սողնակ  d=25մմ</t>
  </si>
  <si>
    <t>äáÉÇ¿ÃÇÉ»Ý» ËáÕáí³ÏÇó å³ïÛ³ÝÇ ï»Õ³¹ñáõÙª ö30ª 32ëÙ 4 հատ</t>
  </si>
  <si>
    <t>Պոլիորոպիլենե  խողովակ  Փ30</t>
  </si>
  <si>
    <t xml:space="preserve">Անցքի բացում  »/µ Í³Íկ»ñáõÙ </t>
  </si>
  <si>
    <t xml:space="preserve">äáÕå³ï» ö25ª ËáÕáí³ÏÇ ç»ñÙ³Ù»Ïáõë³óáõÙª ç»ñ. Ù»Ï. Ã³Õ³ÝÃáí 14 գ.մ.
</t>
  </si>
  <si>
    <t>äáÉÇ¿ÃÇÉ»Ý» ËáÕáí³ÏÇó å³ïÛ³ÝÇ ï»Õ³¹ñáõÙª ö30ª 45ëÙ 34 հատ</t>
  </si>
  <si>
    <t>ÐÐ Îáï³ÛùÇ Ù³ñ½Ç Øñ·³ß»Ý Ñ³Ù³ÛÝùÇ §Øñ·³ß»ÝÇ Ø³ÝÏ³å³ñï»½¦
Ðà²Î-Ç ç»éáõóÙ³Ý Ñ³Ù³Ï³ñ·Ç í»ñ³Ýáñá·Ù³Ý ³ßË³ï³ÝùÝ»ñ</t>
  </si>
  <si>
    <t>Պողպատե  խողովակ, d=108</t>
  </si>
  <si>
    <t>9-1</t>
  </si>
  <si>
    <t>¶áÉáñßÇ³Ù»ÏáõëÇã ß»ñïÇ Çñ³Ï³Ý³óáõÙ Ó»ÕÝ³Ñ³ñÏáõÙª éáõμ»ñáÇ¹Ç ß»ñï</t>
  </si>
  <si>
    <t>æ»ñÙ³Ù»ÏáõëÇã ß»ñïÇ Çñ³Ï³Ý³óáõÙ Ó»ÕÝ³Ñ³ñÏáõÙª Ù³Ýñ³Ñ³ï Ë³ñ³ÙÇóª 15 ëÙ 300մ2</t>
  </si>
  <si>
    <t>ռուբեռոիդ</t>
  </si>
  <si>
    <t>E12-289</t>
  </si>
  <si>
    <t>բիտում</t>
  </si>
  <si>
    <t>E12-288-1</t>
  </si>
  <si>
    <t>Խարամ</t>
  </si>
  <si>
    <t>E18-71</t>
  </si>
  <si>
    <t>2-6</t>
  </si>
  <si>
    <t>Î³Ãë³ ·³½Ç ª 45 Ïíï Ñ½./ÏáÝ¹»ë³óÇáÝ/</t>
  </si>
  <si>
    <t>ÌË³ï³ñ ËáÕáí³Ïª ö 120 ÃÇÃ»ÕÛ³ 3.8 գ.մ.</t>
  </si>
  <si>
    <t>E20-106</t>
  </si>
  <si>
    <t>ú¹³ï³ñª ö 250 ÃÇÃ»ÕÛ³ 3 գ.մ.</t>
  </si>
  <si>
    <t>Ð³í³ùÇã ë³ÝñÇÏª ö 108</t>
  </si>
  <si>
    <t>´³ßËÇã ë³ÝñÇÏª ö 108</t>
  </si>
  <si>
    <t>E18-179</t>
  </si>
  <si>
    <t>êÝáõóÙ³Ý çñ³·ÇÍª åáÉÇåñ. ËÙ»Éáõ çñÇ ö 25</t>
  </si>
  <si>
    <t>Պոլիորոպիլենե  խողովակ  Փ25</t>
  </si>
  <si>
    <t xml:space="preserve">æñÇ ëÝáõóÙ³Ý åáÙåª 5.0 Ù3/Å³Ù; Ñ=15.0 Ù.
</t>
  </si>
  <si>
    <t xml:space="preserve">Ø³ùñÇãª ö 100
</t>
  </si>
  <si>
    <t>E18-218</t>
  </si>
  <si>
    <t xml:space="preserve">Ø»Ùμñ³Ý³ÛÇÝ ÁÝ¹³ñÓ³ÏÙ³Ý μ³ù 40 É.
</t>
  </si>
  <si>
    <t>E18-133</t>
  </si>
  <si>
    <t xml:space="preserve">æñç³Ý³éáõ åáÙåª 4.0 Ù3/Å³Ù; Ñ=22.0 Ù.
</t>
  </si>
  <si>
    <t>æñç³Ý³éáõ åáÙåª 4.0 Ù3/Å³Ù; Ñ=22.0 Ù.</t>
  </si>
  <si>
    <t xml:space="preserve">´»ïáÝ» ÑÇÙù»ñÇ ù³Ý¹áõÙ </t>
  </si>
  <si>
    <t>´»ïáÝ» ÑÇÙù»ñÇ í»ñ³Ï³Ý·ÝáõÙ</t>
  </si>
  <si>
    <t>²ÝÏÛáõÝ 900ª ö 250 ÃÇÃ»ÕÛ³ 2 հատ</t>
  </si>
  <si>
    <t>ö³Ï³Ý ö 25</t>
  </si>
  <si>
    <t>²ÝóáõÙ §³Ù»ñÇÏ³ÝÏ³¦  ö 25</t>
  </si>
  <si>
    <t>²ÝóáõÙ §³Ù»ñÇÏ³ÝÏ³¦  ö 40</t>
  </si>
  <si>
    <t>¸³ï³ñÏÙ³Ý ÷³Ï³Ý ö 25</t>
  </si>
  <si>
    <t>Մետաղական մասերի յուղաներկում երկու անգամ</t>
  </si>
  <si>
    <t xml:space="preserve">Î³Ãë³ ·³½Ç ª 45 Ïíï Ñ½./ÏáÝ¹»ë³óÇáÝ/վ_x000D_
</t>
  </si>
  <si>
    <t>2-1</t>
  </si>
  <si>
    <r>
      <t>ÜÛáõÃ»ñÇ ÙÇ³íáñÇ ³ñÅ»ùÁ (¶</t>
    </r>
    <r>
      <rPr>
        <vertAlign val="subscript"/>
        <sz val="8"/>
        <rFont val="Arial LatArm"/>
        <family val="2"/>
      </rPr>
      <t>ïñ³Ýëåáñï</t>
    </r>
    <r>
      <rPr>
        <sz val="8"/>
        <rFont val="Arial LatArm"/>
        <family val="2"/>
      </rPr>
      <t>)</t>
    </r>
  </si>
  <si>
    <t xml:space="preserve">²Ùñ³Ïª ö25
</t>
  </si>
  <si>
    <t xml:space="preserve">²Ùñ³Ïª ö20
</t>
  </si>
  <si>
    <t xml:space="preserve">ÌË³ï³ñ ËáÕáí³Ïª ö 120 ÃÇÃ»ÕÛ³ 
</t>
  </si>
  <si>
    <t xml:space="preserve">ú¹³ï³ñª ö 250 ÃÇÃ»ÕÛ³
</t>
  </si>
  <si>
    <t xml:space="preserve">Ð³í³ùÇã ë³ÝñÇÏª ö 108
</t>
  </si>
  <si>
    <t xml:space="preserve">´³ßËÇã ë³ÝñÇÏª ö 108
</t>
  </si>
  <si>
    <t xml:space="preserve">²ÝÏÛáõÝ 900ª ö 250 ÃÇÃ»ÕÛ³ 
</t>
  </si>
  <si>
    <t>ԱԱՀ</t>
  </si>
  <si>
    <t>ԾԱՎԱԼԱԹԵՐԹ-ՆԱԽԱՀԱՇԻՎ</t>
  </si>
  <si>
    <t>ÀÝ¹Ñ³ÝáõñÇ ³ñÅ»ùÁ Ñ³½³ñ ¹ñ³Ù տոկոսներով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</si>
</sst>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;;;"/>
    <numFmt numFmtId="166" formatCode="_-* #,##0.00_р_._-;\-* #,##0.00_р_._-;_-* &quot;-&quot;??_р_._-;_-@_-"/>
  </numFmts>
  <fonts count="39">
    <font>
      <sz val="10"/>
      <name val="Arial"/>
    </font>
    <font>
      <sz val="10"/>
      <name val="Arial Armenian"/>
      <family val="2"/>
    </font>
    <font>
      <b/>
      <sz val="12"/>
      <name val="Arial LatArm"/>
      <family val="2"/>
    </font>
    <font>
      <sz val="10"/>
      <name val="Arial LatArm"/>
      <family val="2"/>
    </font>
    <font>
      <b/>
      <sz val="10"/>
      <name val="Arial LatArm"/>
      <family val="2"/>
    </font>
    <font>
      <b/>
      <sz val="9"/>
      <name val="Arial LatArm"/>
      <family val="2"/>
    </font>
    <font>
      <b/>
      <sz val="11"/>
      <name val="Arial LatArm"/>
      <family val="2"/>
    </font>
    <font>
      <sz val="8"/>
      <name val="Arial LatArm"/>
      <family val="2"/>
    </font>
    <font>
      <sz val="9"/>
      <name val="Arial LatArm"/>
      <family val="2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Armeni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Arial LatArm"/>
      <family val="2"/>
    </font>
    <font>
      <i/>
      <sz val="10"/>
      <name val="Arial LatArm"/>
      <family val="2"/>
    </font>
    <font>
      <vertAlign val="subscript"/>
      <sz val="10"/>
      <name val="Arial LatArm"/>
      <family val="2"/>
    </font>
    <font>
      <b/>
      <i/>
      <sz val="10"/>
      <color theme="0"/>
      <name val="Arial LatArm"/>
      <family val="2"/>
    </font>
    <font>
      <sz val="10"/>
      <color theme="0"/>
      <name val="Arial LatArm"/>
      <family val="2"/>
    </font>
    <font>
      <i/>
      <sz val="9"/>
      <name val="Arial LatArm"/>
      <family val="2"/>
    </font>
    <font>
      <b/>
      <i/>
      <sz val="9"/>
      <name val="Arial LatArm"/>
      <family val="2"/>
    </font>
    <font>
      <b/>
      <sz val="8"/>
      <name val="Arial LatArm"/>
      <family val="2"/>
    </font>
    <font>
      <vertAlign val="subscript"/>
      <sz val="8"/>
      <name val="Arial LatArm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166" fontId="12" fillId="0" borderId="0" applyFont="0" applyFill="0" applyBorder="0" applyAlignment="0" applyProtection="0"/>
    <xf numFmtId="0" fontId="12" fillId="0" borderId="0"/>
    <xf numFmtId="0" fontId="9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9" fontId="9" fillId="0" borderId="0" applyFon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41" applyNumberFormat="0" applyAlignment="0" applyProtection="0"/>
    <xf numFmtId="0" fontId="14" fillId="20" borderId="42" applyNumberFormat="0" applyAlignment="0" applyProtection="0"/>
    <xf numFmtId="0" fontId="15" fillId="20" borderId="41" applyNumberFormat="0" applyAlignment="0" applyProtection="0"/>
    <xf numFmtId="0" fontId="16" fillId="0" borderId="43" applyNumberFormat="0" applyFill="0" applyAlignment="0" applyProtection="0"/>
    <xf numFmtId="0" fontId="17" fillId="0" borderId="44" applyNumberFormat="0" applyFill="0" applyAlignment="0" applyProtection="0"/>
    <xf numFmtId="0" fontId="18" fillId="0" borderId="4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46" applyNumberFormat="0" applyFill="0" applyAlignment="0" applyProtection="0"/>
    <xf numFmtId="0" fontId="20" fillId="21" borderId="4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2" fillId="0" borderId="0"/>
    <xf numFmtId="0" fontId="12" fillId="0" borderId="0"/>
    <xf numFmtId="0" fontId="2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23" borderId="48" applyNumberFormat="0" applyFont="0" applyAlignment="0" applyProtection="0"/>
    <xf numFmtId="0" fontId="27" fillId="0" borderId="4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</cellStyleXfs>
  <cellXfs count="484">
    <xf numFmtId="0" fontId="0" fillId="0" borderId="0" xfId="0"/>
    <xf numFmtId="0" fontId="8" fillId="0" borderId="0" xfId="0" applyNumberFormat="1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vertical="top" shrinkToFit="1"/>
    </xf>
    <xf numFmtId="2" fontId="7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vertical="top"/>
    </xf>
    <xf numFmtId="0" fontId="3" fillId="0" borderId="0" xfId="0" applyFont="1" applyFill="1" applyAlignment="1"/>
    <xf numFmtId="0" fontId="4" fillId="0" borderId="0" xfId="0" applyFont="1" applyFill="1" applyAlignment="1"/>
    <xf numFmtId="0" fontId="3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2" fontId="30" fillId="0" borderId="0" xfId="0" applyNumberFormat="1" applyFont="1" applyFill="1" applyAlignment="1">
      <alignment horizontal="left" vertical="center"/>
    </xf>
    <xf numFmtId="0" fontId="30" fillId="0" borderId="0" xfId="0" applyFont="1" applyFill="1" applyAlignment="1"/>
    <xf numFmtId="0" fontId="8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vertical="top"/>
    </xf>
    <xf numFmtId="2" fontId="8" fillId="0" borderId="4" xfId="0" applyNumberFormat="1" applyFont="1" applyFill="1" applyBorder="1" applyAlignment="1">
      <alignment vertical="top" shrinkToFit="1"/>
    </xf>
    <xf numFmtId="2" fontId="8" fillId="0" borderId="19" xfId="0" applyNumberFormat="1" applyFont="1" applyFill="1" applyBorder="1" applyAlignment="1">
      <alignment vertical="top"/>
    </xf>
    <xf numFmtId="2" fontId="8" fillId="0" borderId="24" xfId="0" applyNumberFormat="1" applyFont="1" applyFill="1" applyBorder="1" applyAlignment="1">
      <alignment vertical="top"/>
    </xf>
    <xf numFmtId="2" fontId="7" fillId="0" borderId="3" xfId="0" applyNumberFormat="1" applyFont="1" applyFill="1" applyBorder="1" applyAlignment="1">
      <alignment vertical="top"/>
    </xf>
    <xf numFmtId="0" fontId="8" fillId="0" borderId="3" xfId="0" applyNumberFormat="1" applyFont="1" applyFill="1" applyBorder="1" applyAlignment="1">
      <alignment horizontal="center" vertical="center" shrinkToFit="1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18" xfId="0" applyNumberFormat="1" applyFont="1" applyFill="1" applyBorder="1" applyAlignment="1">
      <alignment vertical="top" shrinkToFit="1"/>
    </xf>
    <xf numFmtId="2" fontId="8" fillId="0" borderId="2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vertical="top"/>
    </xf>
    <xf numFmtId="2" fontId="8" fillId="0" borderId="9" xfId="0" applyNumberFormat="1" applyFont="1" applyFill="1" applyBorder="1" applyAlignment="1">
      <alignment vertical="top"/>
    </xf>
    <xf numFmtId="2" fontId="8" fillId="0" borderId="9" xfId="0" applyNumberFormat="1" applyFont="1" applyFill="1" applyBorder="1" applyAlignment="1">
      <alignment vertical="top" shrinkToFit="1"/>
    </xf>
    <xf numFmtId="2" fontId="8" fillId="0" borderId="17" xfId="0" applyNumberFormat="1" applyFont="1" applyFill="1" applyBorder="1" applyAlignment="1">
      <alignment vertical="center" shrinkToFit="1"/>
    </xf>
    <xf numFmtId="0" fontId="8" fillId="0" borderId="1" xfId="0" applyNumberFormat="1" applyFont="1" applyFill="1" applyBorder="1" applyAlignment="1">
      <alignment vertical="top"/>
    </xf>
    <xf numFmtId="0" fontId="3" fillId="0" borderId="14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 shrinkToFit="1"/>
    </xf>
    <xf numFmtId="2" fontId="8" fillId="0" borderId="10" xfId="0" applyNumberFormat="1" applyFont="1" applyFill="1" applyBorder="1" applyAlignment="1">
      <alignment vertical="top"/>
    </xf>
    <xf numFmtId="2" fontId="8" fillId="0" borderId="1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center" shrinkToFit="1"/>
    </xf>
    <xf numFmtId="2" fontId="8" fillId="0" borderId="11" xfId="0" applyNumberFormat="1" applyFont="1" applyFill="1" applyBorder="1" applyAlignment="1">
      <alignment vertical="top" shrinkToFit="1"/>
    </xf>
    <xf numFmtId="2" fontId="8" fillId="0" borderId="39" xfId="0" applyNumberFormat="1" applyFont="1" applyFill="1" applyBorder="1" applyAlignment="1">
      <alignment vertical="center" shrinkToFit="1"/>
    </xf>
    <xf numFmtId="2" fontId="7" fillId="0" borderId="4" xfId="0" applyNumberFormat="1" applyFont="1" applyFill="1" applyBorder="1" applyAlignment="1">
      <alignment vertical="top"/>
    </xf>
    <xf numFmtId="0" fontId="8" fillId="0" borderId="4" xfId="0" applyNumberFormat="1" applyFont="1" applyFill="1" applyBorder="1" applyAlignment="1">
      <alignment horizontal="center" vertical="center" shrinkToFit="1"/>
    </xf>
    <xf numFmtId="2" fontId="8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 shrinkToFit="1"/>
    </xf>
    <xf numFmtId="2" fontId="8" fillId="0" borderId="24" xfId="0" applyNumberFormat="1" applyFont="1" applyFill="1" applyBorder="1" applyAlignment="1">
      <alignment vertical="top" shrinkToFit="1"/>
    </xf>
    <xf numFmtId="165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0" fontId="8" fillId="0" borderId="21" xfId="0" applyNumberFormat="1" applyFont="1" applyFill="1" applyBorder="1" applyAlignment="1">
      <alignment horizontal="center" vertical="center" shrinkToFit="1"/>
    </xf>
    <xf numFmtId="2" fontId="8" fillId="0" borderId="21" xfId="0" applyNumberFormat="1" applyFont="1" applyFill="1" applyBorder="1" applyAlignment="1">
      <alignment horizontal="center" vertical="center" shrinkToFit="1"/>
    </xf>
    <xf numFmtId="2" fontId="8" fillId="0" borderId="25" xfId="0" applyNumberFormat="1" applyFont="1" applyFill="1" applyBorder="1" applyAlignment="1">
      <alignment vertical="top" shrinkToFit="1"/>
    </xf>
    <xf numFmtId="49" fontId="7" fillId="0" borderId="29" xfId="0" applyNumberFormat="1" applyFont="1" applyFill="1" applyBorder="1" applyAlignment="1">
      <alignment horizontal="left" vertical="top" wrapText="1"/>
    </xf>
    <xf numFmtId="0" fontId="8" fillId="0" borderId="30" xfId="0" applyNumberFormat="1" applyFont="1" applyFill="1" applyBorder="1" applyAlignment="1">
      <alignment horizontal="center" vertical="center" shrinkToFit="1"/>
    </xf>
    <xf numFmtId="2" fontId="8" fillId="0" borderId="30" xfId="0" applyNumberFormat="1" applyFont="1" applyFill="1" applyBorder="1" applyAlignment="1">
      <alignment horizontal="center" vertical="center" shrinkToFit="1"/>
    </xf>
    <xf numFmtId="2" fontId="8" fillId="0" borderId="4" xfId="2" applyNumberFormat="1" applyFont="1" applyFill="1" applyBorder="1" applyAlignment="1">
      <alignment vertical="top" shrinkToFit="1"/>
    </xf>
    <xf numFmtId="2" fontId="8" fillId="0" borderId="0" xfId="2" applyNumberFormat="1" applyFont="1" applyFill="1" applyBorder="1" applyAlignment="1">
      <alignment vertical="top"/>
    </xf>
    <xf numFmtId="2" fontId="8" fillId="0" borderId="8" xfId="2" applyNumberFormat="1" applyFont="1" applyFill="1" applyBorder="1" applyAlignment="1">
      <alignment vertical="top"/>
    </xf>
    <xf numFmtId="2" fontId="7" fillId="0" borderId="4" xfId="2" applyNumberFormat="1" applyFont="1" applyFill="1" applyBorder="1" applyAlignment="1">
      <alignment vertical="top"/>
    </xf>
    <xf numFmtId="0" fontId="8" fillId="0" borderId="4" xfId="2" applyNumberFormat="1" applyFont="1" applyFill="1" applyBorder="1" applyAlignment="1">
      <alignment horizontal="center" vertical="center" shrinkToFit="1"/>
    </xf>
    <xf numFmtId="2" fontId="8" fillId="0" borderId="4" xfId="2" applyNumberFormat="1" applyFont="1" applyFill="1" applyBorder="1" applyAlignment="1">
      <alignment horizontal="center" vertical="center"/>
    </xf>
    <xf numFmtId="2" fontId="8" fillId="0" borderId="24" xfId="2" applyNumberFormat="1" applyFont="1" applyFill="1" applyBorder="1" applyAlignment="1">
      <alignment vertical="top" shrinkToFit="1"/>
    </xf>
    <xf numFmtId="2" fontId="8" fillId="0" borderId="2" xfId="2" applyNumberFormat="1" applyFont="1" applyFill="1" applyBorder="1" applyAlignment="1">
      <alignment horizontal="center" vertical="center" shrinkToFit="1"/>
    </xf>
    <xf numFmtId="0" fontId="8" fillId="0" borderId="0" xfId="2" applyNumberFormat="1" applyFont="1" applyFill="1" applyAlignment="1">
      <alignment vertical="top"/>
    </xf>
    <xf numFmtId="2" fontId="8" fillId="0" borderId="9" xfId="2" applyNumberFormat="1" applyFont="1" applyFill="1" applyBorder="1" applyAlignment="1">
      <alignment vertical="top"/>
    </xf>
    <xf numFmtId="2" fontId="8" fillId="0" borderId="0" xfId="2" applyNumberFormat="1" applyFont="1" applyFill="1" applyBorder="1" applyAlignment="1">
      <alignment vertical="top" shrinkToFit="1"/>
    </xf>
    <xf numFmtId="2" fontId="8" fillId="0" borderId="17" xfId="2" applyNumberFormat="1" applyFont="1" applyFill="1" applyBorder="1" applyAlignment="1">
      <alignment vertical="center" shrinkToFit="1"/>
    </xf>
    <xf numFmtId="2" fontId="8" fillId="0" borderId="9" xfId="2" applyNumberFormat="1" applyFont="1" applyFill="1" applyBorder="1" applyAlignment="1">
      <alignment vertical="top" shrinkToFit="1"/>
    </xf>
    <xf numFmtId="0" fontId="8" fillId="0" borderId="1" xfId="2" applyNumberFormat="1" applyFont="1" applyFill="1" applyBorder="1" applyAlignment="1">
      <alignment vertical="top"/>
    </xf>
    <xf numFmtId="0" fontId="3" fillId="0" borderId="14" xfId="2" applyNumberFormat="1" applyFont="1" applyFill="1" applyBorder="1" applyAlignment="1">
      <alignment vertical="top"/>
    </xf>
    <xf numFmtId="0" fontId="8" fillId="0" borderId="1" xfId="2" applyNumberFormat="1" applyFont="1" applyFill="1" applyBorder="1" applyAlignment="1">
      <alignment horizontal="center" vertical="center"/>
    </xf>
    <xf numFmtId="2" fontId="8" fillId="0" borderId="14" xfId="2" applyNumberFormat="1" applyFont="1" applyFill="1" applyBorder="1" applyAlignment="1">
      <alignment horizontal="center" vertical="center" shrinkToFit="1"/>
    </xf>
    <xf numFmtId="2" fontId="8" fillId="0" borderId="1" xfId="2" applyNumberFormat="1" applyFont="1" applyFill="1" applyBorder="1" applyAlignment="1">
      <alignment vertical="top"/>
    </xf>
    <xf numFmtId="2" fontId="8" fillId="0" borderId="1" xfId="2" applyNumberFormat="1" applyFont="1" applyFill="1" applyBorder="1" applyAlignment="1">
      <alignment vertical="top" shrinkToFit="1"/>
    </xf>
    <xf numFmtId="2" fontId="8" fillId="0" borderId="10" xfId="2" applyNumberFormat="1" applyFont="1" applyFill="1" applyBorder="1" applyAlignment="1">
      <alignment vertical="top"/>
    </xf>
    <xf numFmtId="2" fontId="8" fillId="0" borderId="11" xfId="2" applyNumberFormat="1" applyFont="1" applyFill="1" applyBorder="1" applyAlignment="1">
      <alignment vertical="top"/>
    </xf>
    <xf numFmtId="2" fontId="7" fillId="0" borderId="0" xfId="2" applyNumberFormat="1" applyFont="1" applyFill="1" applyBorder="1" applyAlignment="1">
      <alignment vertical="top"/>
    </xf>
    <xf numFmtId="0" fontId="8" fillId="0" borderId="0" xfId="2" applyNumberFormat="1" applyFont="1" applyFill="1" applyBorder="1" applyAlignment="1">
      <alignment horizontal="center" vertical="center" shrinkToFit="1"/>
    </xf>
    <xf numFmtId="2" fontId="8" fillId="0" borderId="0" xfId="2" applyNumberFormat="1" applyFont="1" applyFill="1" applyBorder="1" applyAlignment="1">
      <alignment horizontal="center" vertical="center"/>
    </xf>
    <xf numFmtId="49" fontId="7" fillId="0" borderId="32" xfId="2" applyNumberFormat="1" applyFont="1" applyFill="1" applyBorder="1" applyAlignment="1">
      <alignment horizontal="left" vertical="top" wrapText="1"/>
    </xf>
    <xf numFmtId="0" fontId="8" fillId="0" borderId="33" xfId="2" applyNumberFormat="1" applyFont="1" applyFill="1" applyBorder="1" applyAlignment="1">
      <alignment horizontal="center" vertical="center" shrinkToFit="1"/>
    </xf>
    <xf numFmtId="2" fontId="8" fillId="0" borderId="33" xfId="2" applyNumberFormat="1" applyFont="1" applyFill="1" applyBorder="1" applyAlignment="1">
      <alignment horizontal="center" vertical="center" shrinkToFit="1"/>
    </xf>
    <xf numFmtId="2" fontId="8" fillId="0" borderId="21" xfId="0" applyNumberFormat="1" applyFont="1" applyFill="1" applyBorder="1" applyAlignment="1">
      <alignment horizontal="center" vertical="top" shrinkToFit="1"/>
    </xf>
    <xf numFmtId="0" fontId="8" fillId="0" borderId="30" xfId="0" applyNumberFormat="1" applyFont="1" applyFill="1" applyBorder="1" applyAlignment="1">
      <alignment horizontal="center" vertical="top" shrinkToFit="1"/>
    </xf>
    <xf numFmtId="2" fontId="8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 shrinkToFit="1"/>
    </xf>
    <xf numFmtId="0" fontId="8" fillId="0" borderId="21" xfId="0" applyNumberFormat="1" applyFont="1" applyFill="1" applyBorder="1" applyAlignment="1">
      <alignment horizontal="center" vertical="top" shrinkToFit="1"/>
    </xf>
    <xf numFmtId="2" fontId="8" fillId="0" borderId="21" xfId="0" applyNumberFormat="1" applyFont="1" applyFill="1" applyBorder="1" applyAlignment="1">
      <alignment horizontal="center" vertical="center"/>
    </xf>
    <xf numFmtId="2" fontId="8" fillId="0" borderId="30" xfId="0" applyNumberFormat="1" applyFont="1" applyFill="1" applyBorder="1" applyAlignment="1">
      <alignment horizontal="center" vertical="center"/>
    </xf>
    <xf numFmtId="0" fontId="31" fillId="0" borderId="0" xfId="4" applyFont="1" applyFill="1" applyAlignment="1">
      <alignment horizontal="left"/>
    </xf>
    <xf numFmtId="2" fontId="8" fillId="0" borderId="33" xfId="2" applyNumberFormat="1" applyFont="1" applyFill="1" applyBorder="1" applyAlignment="1">
      <alignment horizontal="center" vertical="center"/>
    </xf>
    <xf numFmtId="2" fontId="8" fillId="0" borderId="14" xfId="0" applyNumberFormat="1" applyFont="1" applyFill="1" applyBorder="1" applyAlignment="1">
      <alignment horizontal="center" vertical="center" shrinkToFit="1"/>
    </xf>
    <xf numFmtId="164" fontId="8" fillId="0" borderId="13" xfId="0" applyNumberFormat="1" applyFont="1" applyFill="1" applyBorder="1" applyAlignment="1">
      <alignment horizontal="center" vertical="center" shrinkToFi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left"/>
    </xf>
    <xf numFmtId="49" fontId="8" fillId="0" borderId="13" xfId="0" applyNumberFormat="1" applyFont="1" applyFill="1" applyBorder="1" applyAlignment="1">
      <alignment horizontal="center" vertical="top" wrapText="1"/>
    </xf>
    <xf numFmtId="2" fontId="8" fillId="0" borderId="30" xfId="0" applyNumberFormat="1" applyFont="1" applyFill="1" applyBorder="1" applyAlignment="1">
      <alignment horizontal="center" vertical="top"/>
    </xf>
    <xf numFmtId="164" fontId="8" fillId="0" borderId="12" xfId="0" applyNumberFormat="1" applyFont="1" applyFill="1" applyBorder="1" applyAlignment="1">
      <alignment horizontal="center" vertical="center" shrinkToFit="1"/>
    </xf>
    <xf numFmtId="164" fontId="8" fillId="0" borderId="30" xfId="0" applyNumberFormat="1" applyFont="1" applyFill="1" applyBorder="1" applyAlignment="1">
      <alignment horizontal="center" vertical="top" shrinkToFit="1"/>
    </xf>
    <xf numFmtId="2" fontId="8" fillId="0" borderId="13" xfId="2" applyNumberFormat="1" applyFont="1" applyFill="1" applyBorder="1" applyAlignment="1">
      <alignment horizontal="center" vertical="center" shrinkToFit="1"/>
    </xf>
    <xf numFmtId="2" fontId="8" fillId="0" borderId="12" xfId="0" applyNumberFormat="1" applyFont="1" applyFill="1" applyBorder="1" applyAlignment="1">
      <alignment horizontal="center" vertical="center" shrinkToFit="1"/>
    </xf>
    <xf numFmtId="2" fontId="8" fillId="0" borderId="13" xfId="0" applyNumberFormat="1" applyFont="1" applyFill="1" applyBorder="1" applyAlignment="1">
      <alignment horizontal="center" vertical="center" shrinkToFit="1"/>
    </xf>
    <xf numFmtId="2" fontId="8" fillId="0" borderId="37" xfId="0" applyNumberFormat="1" applyFont="1" applyFill="1" applyBorder="1" applyAlignment="1">
      <alignment horizontal="center" vertical="center" shrinkToFit="1"/>
    </xf>
    <xf numFmtId="0" fontId="3" fillId="0" borderId="0" xfId="5" applyFont="1" applyFill="1"/>
    <xf numFmtId="165" fontId="3" fillId="0" borderId="0" xfId="5" applyNumberFormat="1" applyFont="1" applyFill="1"/>
    <xf numFmtId="0" fontId="2" fillId="0" borderId="0" xfId="5" applyFont="1" applyFill="1" applyAlignment="1"/>
    <xf numFmtId="0" fontId="30" fillId="0" borderId="0" xfId="5" applyFont="1" applyFill="1" applyAlignment="1">
      <alignment vertical="center"/>
    </xf>
    <xf numFmtId="0" fontId="31" fillId="0" borderId="0" xfId="5" applyFont="1" applyFill="1" applyAlignment="1">
      <alignment vertical="center"/>
    </xf>
    <xf numFmtId="49" fontId="6" fillId="0" borderId="0" xfId="5" applyNumberFormat="1" applyFont="1" applyFill="1" applyAlignment="1">
      <alignment horizontal="right"/>
    </xf>
    <xf numFmtId="49" fontId="2" fillId="0" borderId="0" xfId="5" applyNumberFormat="1" applyFont="1" applyFill="1" applyAlignment="1"/>
    <xf numFmtId="165" fontId="2" fillId="0" borderId="0" xfId="5" applyNumberFormat="1" applyFont="1" applyFill="1" applyAlignment="1"/>
    <xf numFmtId="0" fontId="3" fillId="0" borderId="0" xfId="5" applyFont="1" applyFill="1" applyAlignment="1"/>
    <xf numFmtId="0" fontId="7" fillId="0" borderId="0" xfId="5" applyFont="1" applyFill="1" applyAlignment="1"/>
    <xf numFmtId="165" fontId="3" fillId="0" borderId="0" xfId="5" applyNumberFormat="1" applyFont="1" applyFill="1" applyAlignment="1"/>
    <xf numFmtId="0" fontId="4" fillId="0" borderId="0" xfId="5" applyFont="1" applyFill="1" applyAlignment="1">
      <alignment horizontal="left"/>
    </xf>
    <xf numFmtId="0" fontId="3" fillId="0" borderId="0" xfId="5" applyFont="1" applyFill="1" applyAlignment="1">
      <alignment horizontal="center"/>
    </xf>
    <xf numFmtId="0" fontId="4" fillId="0" borderId="0" xfId="5" applyFont="1" applyFill="1" applyAlignment="1"/>
    <xf numFmtId="0" fontId="31" fillId="0" borderId="0" xfId="5" applyFont="1" applyFill="1" applyAlignment="1">
      <alignment horizontal="left"/>
    </xf>
    <xf numFmtId="0" fontId="31" fillId="0" borderId="0" xfId="5" applyFont="1" applyFill="1" applyAlignment="1">
      <alignment horizontal="right"/>
    </xf>
    <xf numFmtId="0" fontId="3" fillId="0" borderId="0" xfId="5" applyFont="1" applyFill="1" applyAlignment="1">
      <alignment horizontal="left" vertical="center"/>
    </xf>
    <xf numFmtId="14" fontId="4" fillId="0" borderId="0" xfId="5" applyNumberFormat="1" applyFont="1" applyFill="1" applyAlignment="1">
      <alignment horizontal="left"/>
    </xf>
    <xf numFmtId="2" fontId="2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shrinkToFit="1"/>
    </xf>
    <xf numFmtId="0" fontId="4" fillId="0" borderId="0" xfId="5" applyFont="1" applyFill="1" applyAlignment="1">
      <alignment horizontal="center"/>
    </xf>
    <xf numFmtId="0" fontId="31" fillId="0" borderId="0" xfId="5" applyFont="1" applyFill="1" applyAlignment="1">
      <alignment horizontal="center"/>
    </xf>
    <xf numFmtId="2" fontId="30" fillId="0" borderId="0" xfId="5" applyNumberFormat="1" applyFont="1" applyFill="1" applyAlignment="1">
      <alignment horizontal="left" vertical="center"/>
    </xf>
    <xf numFmtId="0" fontId="4" fillId="0" borderId="0" xfId="5" applyFont="1" applyFill="1"/>
    <xf numFmtId="0" fontId="7" fillId="0" borderId="0" xfId="5" applyFont="1" applyFill="1"/>
    <xf numFmtId="0" fontId="8" fillId="0" borderId="0" xfId="5" applyNumberFormat="1" applyFont="1" applyFill="1" applyAlignment="1">
      <alignment vertical="top"/>
    </xf>
    <xf numFmtId="165" fontId="8" fillId="0" borderId="0" xfId="5" applyNumberFormat="1" applyFont="1" applyFill="1" applyAlignment="1">
      <alignment vertical="top"/>
    </xf>
    <xf numFmtId="0" fontId="8" fillId="0" borderId="4" xfId="5" applyNumberFormat="1" applyFont="1" applyFill="1" applyBorder="1" applyAlignment="1">
      <alignment horizontal="center" vertical="center"/>
    </xf>
    <xf numFmtId="2" fontId="8" fillId="0" borderId="4" xfId="5" applyNumberFormat="1" applyFont="1" applyFill="1" applyBorder="1" applyAlignment="1">
      <alignment vertical="top"/>
    </xf>
    <xf numFmtId="2" fontId="8" fillId="0" borderId="4" xfId="5" applyNumberFormat="1" applyFont="1" applyFill="1" applyBorder="1" applyAlignment="1">
      <alignment vertical="top" shrinkToFit="1"/>
    </xf>
    <xf numFmtId="2" fontId="8" fillId="0" borderId="19" xfId="5" applyNumberFormat="1" applyFont="1" applyFill="1" applyBorder="1" applyAlignment="1">
      <alignment vertical="top"/>
    </xf>
    <xf numFmtId="2" fontId="8" fillId="0" borderId="24" xfId="5" applyNumberFormat="1" applyFont="1" applyFill="1" applyBorder="1" applyAlignment="1">
      <alignment vertical="top"/>
    </xf>
    <xf numFmtId="2" fontId="7" fillId="0" borderId="4" xfId="5" applyNumberFormat="1" applyFont="1" applyFill="1" applyBorder="1" applyAlignment="1">
      <alignment vertical="top"/>
    </xf>
    <xf numFmtId="0" fontId="8" fillId="0" borderId="4" xfId="5" applyNumberFormat="1" applyFont="1" applyFill="1" applyBorder="1" applyAlignment="1">
      <alignment horizontal="center" vertical="center" shrinkToFit="1"/>
    </xf>
    <xf numFmtId="2" fontId="8" fillId="0" borderId="4" xfId="5" applyNumberFormat="1" applyFont="1" applyFill="1" applyBorder="1" applyAlignment="1">
      <alignment horizontal="center" vertical="center"/>
    </xf>
    <xf numFmtId="2" fontId="8" fillId="0" borderId="4" xfId="5" applyNumberFormat="1" applyFont="1" applyFill="1" applyBorder="1" applyAlignment="1">
      <alignment horizontal="center" vertical="center" shrinkToFit="1"/>
    </xf>
    <xf numFmtId="2" fontId="8" fillId="0" borderId="24" xfId="5" applyNumberFormat="1" applyFont="1" applyFill="1" applyBorder="1" applyAlignment="1">
      <alignment vertical="top" shrinkToFit="1"/>
    </xf>
    <xf numFmtId="2" fontId="8" fillId="0" borderId="2" xfId="5" applyNumberFormat="1" applyFont="1" applyFill="1" applyBorder="1" applyAlignment="1">
      <alignment horizontal="center" vertical="center" shrinkToFit="1"/>
    </xf>
    <xf numFmtId="2" fontId="8" fillId="0" borderId="12" xfId="5" applyNumberFormat="1" applyFont="1" applyFill="1" applyBorder="1" applyAlignment="1">
      <alignment horizontal="center" vertical="center" shrinkToFit="1"/>
    </xf>
    <xf numFmtId="0" fontId="8" fillId="0" borderId="0" xfId="5" applyNumberFormat="1" applyFont="1" applyFill="1" applyBorder="1" applyAlignment="1">
      <alignment horizontal="center" vertical="center"/>
    </xf>
    <xf numFmtId="2" fontId="8" fillId="0" borderId="0" xfId="5" applyNumberFormat="1" applyFont="1" applyFill="1" applyBorder="1" applyAlignment="1">
      <alignment vertical="top"/>
    </xf>
    <xf numFmtId="2" fontId="8" fillId="0" borderId="8" xfId="5" applyNumberFormat="1" applyFont="1" applyFill="1" applyBorder="1" applyAlignment="1">
      <alignment vertical="top"/>
    </xf>
    <xf numFmtId="2" fontId="8" fillId="0" borderId="9" xfId="5" applyNumberFormat="1" applyFont="1" applyFill="1" applyBorder="1" applyAlignment="1">
      <alignment vertical="top"/>
    </xf>
    <xf numFmtId="0" fontId="8" fillId="0" borderId="21" xfId="5" applyNumberFormat="1" applyFont="1" applyFill="1" applyBorder="1" applyAlignment="1">
      <alignment horizontal="center" vertical="center" shrinkToFit="1"/>
    </xf>
    <xf numFmtId="2" fontId="8" fillId="0" borderId="21" xfId="5" applyNumberFormat="1" applyFont="1" applyFill="1" applyBorder="1" applyAlignment="1">
      <alignment horizontal="center" vertical="center" shrinkToFit="1"/>
    </xf>
    <xf numFmtId="2" fontId="8" fillId="0" borderId="25" xfId="5" applyNumberFormat="1" applyFont="1" applyFill="1" applyBorder="1" applyAlignment="1">
      <alignment vertical="top" shrinkToFit="1"/>
    </xf>
    <xf numFmtId="2" fontId="8" fillId="0" borderId="13" xfId="5" applyNumberFormat="1" applyFont="1" applyFill="1" applyBorder="1" applyAlignment="1">
      <alignment horizontal="center" vertical="center" shrinkToFit="1"/>
    </xf>
    <xf numFmtId="0" fontId="8" fillId="0" borderId="0" xfId="5" applyNumberFormat="1" applyFont="1" applyFill="1" applyBorder="1" applyAlignment="1">
      <alignment vertical="top"/>
    </xf>
    <xf numFmtId="2" fontId="8" fillId="0" borderId="0" xfId="5" applyNumberFormat="1" applyFont="1" applyFill="1" applyBorder="1" applyAlignment="1">
      <alignment vertical="top" shrinkToFit="1"/>
    </xf>
    <xf numFmtId="0" fontId="8" fillId="0" borderId="23" xfId="5" applyNumberFormat="1" applyFont="1" applyFill="1" applyBorder="1" applyAlignment="1">
      <alignment horizontal="center" vertical="center" shrinkToFit="1"/>
    </xf>
    <xf numFmtId="2" fontId="8" fillId="0" borderId="23" xfId="5" applyNumberFormat="1" applyFont="1" applyFill="1" applyBorder="1" applyAlignment="1">
      <alignment horizontal="center" vertical="center"/>
    </xf>
    <xf numFmtId="2" fontId="8" fillId="0" borderId="23" xfId="5" applyNumberFormat="1" applyFont="1" applyFill="1" applyBorder="1" applyAlignment="1">
      <alignment horizontal="center" vertical="center" shrinkToFit="1"/>
    </xf>
    <xf numFmtId="2" fontId="8" fillId="0" borderId="26" xfId="5" applyNumberFormat="1" applyFont="1" applyFill="1" applyBorder="1" applyAlignment="1">
      <alignment vertical="top" shrinkToFit="1"/>
    </xf>
    <xf numFmtId="2" fontId="8" fillId="0" borderId="17" xfId="5" applyNumberFormat="1" applyFont="1" applyFill="1" applyBorder="1" applyAlignment="1">
      <alignment vertical="center" shrinkToFit="1"/>
    </xf>
    <xf numFmtId="0" fontId="8" fillId="0" borderId="1" xfId="5" applyNumberFormat="1" applyFont="1" applyFill="1" applyBorder="1" applyAlignment="1">
      <alignment vertical="top"/>
    </xf>
    <xf numFmtId="0" fontId="3" fillId="0" borderId="14" xfId="5" applyNumberFormat="1" applyFont="1" applyFill="1" applyBorder="1" applyAlignment="1">
      <alignment vertical="top"/>
    </xf>
    <xf numFmtId="0" fontId="8" fillId="0" borderId="1" xfId="5" applyNumberFormat="1" applyFont="1" applyFill="1" applyBorder="1" applyAlignment="1">
      <alignment horizontal="center" vertical="center"/>
    </xf>
    <xf numFmtId="2" fontId="8" fillId="0" borderId="14" xfId="5" applyNumberFormat="1" applyFont="1" applyFill="1" applyBorder="1" applyAlignment="1">
      <alignment horizontal="center" vertical="center" shrinkToFit="1"/>
    </xf>
    <xf numFmtId="2" fontId="8" fillId="0" borderId="1" xfId="5" applyNumberFormat="1" applyFont="1" applyFill="1" applyBorder="1" applyAlignment="1">
      <alignment vertical="top"/>
    </xf>
    <xf numFmtId="2" fontId="8" fillId="0" borderId="1" xfId="5" applyNumberFormat="1" applyFont="1" applyFill="1" applyBorder="1" applyAlignment="1">
      <alignment vertical="top" shrinkToFit="1"/>
    </xf>
    <xf numFmtId="2" fontId="8" fillId="0" borderId="10" xfId="5" applyNumberFormat="1" applyFont="1" applyFill="1" applyBorder="1" applyAlignment="1">
      <alignment vertical="top"/>
    </xf>
    <xf numFmtId="2" fontId="8" fillId="0" borderId="11" xfId="5" applyNumberFormat="1" applyFont="1" applyFill="1" applyBorder="1" applyAlignment="1">
      <alignment vertical="top"/>
    </xf>
    <xf numFmtId="2" fontId="7" fillId="0" borderId="1" xfId="5" applyNumberFormat="1" applyFont="1" applyFill="1" applyBorder="1" applyAlignment="1">
      <alignment vertical="top"/>
    </xf>
    <xf numFmtId="0" fontId="8" fillId="0" borderId="1" xfId="5" applyNumberFormat="1" applyFont="1" applyFill="1" applyBorder="1" applyAlignment="1">
      <alignment horizontal="center" vertical="center" shrinkToFit="1"/>
    </xf>
    <xf numFmtId="2" fontId="8" fillId="0" borderId="1" xfId="5" applyNumberFormat="1" applyFont="1" applyFill="1" applyBorder="1" applyAlignment="1">
      <alignment horizontal="center" vertical="center"/>
    </xf>
    <xf numFmtId="2" fontId="8" fillId="0" borderId="1" xfId="5" applyNumberFormat="1" applyFont="1" applyFill="1" applyBorder="1" applyAlignment="1">
      <alignment horizontal="center" vertical="center" shrinkToFit="1"/>
    </xf>
    <xf numFmtId="2" fontId="8" fillId="0" borderId="11" xfId="5" applyNumberFormat="1" applyFont="1" applyFill="1" applyBorder="1" applyAlignment="1">
      <alignment vertical="top" shrinkToFit="1"/>
    </xf>
    <xf numFmtId="2" fontId="8" fillId="0" borderId="39" xfId="5" applyNumberFormat="1" applyFont="1" applyFill="1" applyBorder="1" applyAlignment="1">
      <alignment vertical="center" shrinkToFit="1"/>
    </xf>
    <xf numFmtId="49" fontId="8" fillId="0" borderId="0" xfId="5" applyNumberFormat="1" applyFont="1" applyFill="1" applyBorder="1" applyAlignment="1">
      <alignment horizontal="center" vertical="top" wrapText="1"/>
    </xf>
    <xf numFmtId="2" fontId="8" fillId="0" borderId="17" xfId="5" applyNumberFormat="1" applyFont="1" applyFill="1" applyBorder="1" applyAlignment="1">
      <alignment horizontal="center" vertical="center" shrinkToFit="1"/>
    </xf>
    <xf numFmtId="2" fontId="7" fillId="0" borderId="0" xfId="5" applyNumberFormat="1" applyFont="1" applyFill="1" applyBorder="1" applyAlignment="1">
      <alignment vertical="top"/>
    </xf>
    <xf numFmtId="0" fontId="8" fillId="0" borderId="0" xfId="5" applyNumberFormat="1" applyFont="1" applyFill="1" applyBorder="1" applyAlignment="1">
      <alignment horizontal="center" vertical="center" shrinkToFit="1"/>
    </xf>
    <xf numFmtId="2" fontId="8" fillId="0" borderId="0" xfId="5" applyNumberFormat="1" applyFont="1" applyFill="1" applyBorder="1" applyAlignment="1">
      <alignment horizontal="center" vertical="center"/>
    </xf>
    <xf numFmtId="2" fontId="8" fillId="0" borderId="0" xfId="5" applyNumberFormat="1" applyFont="1" applyFill="1" applyBorder="1" applyAlignment="1">
      <alignment horizontal="center" vertical="center" shrinkToFit="1"/>
    </xf>
    <xf numFmtId="2" fontId="8" fillId="0" borderId="9" xfId="5" applyNumberFormat="1" applyFont="1" applyFill="1" applyBorder="1" applyAlignment="1">
      <alignment vertical="top" shrinkToFit="1"/>
    </xf>
    <xf numFmtId="49" fontId="7" fillId="0" borderId="20" xfId="0" applyNumberFormat="1" applyFont="1" applyFill="1" applyBorder="1" applyAlignment="1">
      <alignment horizontal="left" vertical="top" wrapText="1"/>
    </xf>
    <xf numFmtId="0" fontId="8" fillId="0" borderId="23" xfId="0" applyNumberFormat="1" applyFont="1" applyFill="1" applyBorder="1" applyAlignment="1">
      <alignment horizontal="center" vertical="center" shrinkToFit="1"/>
    </xf>
    <xf numFmtId="2" fontId="8" fillId="0" borderId="23" xfId="0" applyNumberFormat="1" applyFont="1" applyFill="1" applyBorder="1" applyAlignment="1">
      <alignment horizontal="center" vertical="center"/>
    </xf>
    <xf numFmtId="2" fontId="8" fillId="0" borderId="26" xfId="0" applyNumberFormat="1" applyFont="1" applyFill="1" applyBorder="1" applyAlignment="1">
      <alignment vertical="top" shrinkToFit="1"/>
    </xf>
    <xf numFmtId="49" fontId="7" fillId="0" borderId="32" xfId="5" applyNumberFormat="1" applyFont="1" applyFill="1" applyBorder="1" applyAlignment="1">
      <alignment horizontal="left" vertical="top" wrapText="1"/>
    </xf>
    <xf numFmtId="0" fontId="8" fillId="0" borderId="33" xfId="5" applyNumberFormat="1" applyFont="1" applyFill="1" applyBorder="1" applyAlignment="1">
      <alignment horizontal="center" vertical="center" shrinkToFit="1"/>
    </xf>
    <xf numFmtId="2" fontId="8" fillId="0" borderId="33" xfId="5" applyNumberFormat="1" applyFont="1" applyFill="1" applyBorder="1" applyAlignment="1">
      <alignment horizontal="center" vertical="center" shrinkToFit="1"/>
    </xf>
    <xf numFmtId="2" fontId="8" fillId="0" borderId="34" xfId="5" applyNumberFormat="1" applyFont="1" applyFill="1" applyBorder="1" applyAlignment="1">
      <alignment vertical="top" shrinkToFit="1"/>
    </xf>
    <xf numFmtId="0" fontId="8" fillId="0" borderId="28" xfId="0" applyNumberFormat="1" applyFont="1" applyFill="1" applyBorder="1" applyAlignment="1">
      <alignment horizontal="center" vertical="center" shrinkToFit="1"/>
    </xf>
    <xf numFmtId="2" fontId="8" fillId="0" borderId="28" xfId="0" applyNumberFormat="1" applyFont="1" applyFill="1" applyBorder="1" applyAlignment="1">
      <alignment horizontal="center" vertical="center"/>
    </xf>
    <xf numFmtId="2" fontId="8" fillId="0" borderId="31" xfId="0" applyNumberFormat="1" applyFont="1" applyFill="1" applyBorder="1" applyAlignment="1">
      <alignment vertical="top" shrinkToFit="1"/>
    </xf>
    <xf numFmtId="0" fontId="8" fillId="0" borderId="28" xfId="5" applyNumberFormat="1" applyFont="1" applyFill="1" applyBorder="1" applyAlignment="1">
      <alignment horizontal="center" vertical="center" shrinkToFit="1"/>
    </xf>
    <xf numFmtId="2" fontId="8" fillId="0" borderId="28" xfId="5" applyNumberFormat="1" applyFont="1" applyFill="1" applyBorder="1" applyAlignment="1">
      <alignment horizontal="center" vertical="center"/>
    </xf>
    <xf numFmtId="2" fontId="8" fillId="0" borderId="28" xfId="5" applyNumberFormat="1" applyFont="1" applyFill="1" applyBorder="1" applyAlignment="1">
      <alignment horizontal="center" vertical="center" shrinkToFit="1"/>
    </xf>
    <xf numFmtId="2" fontId="8" fillId="0" borderId="31" xfId="5" applyNumberFormat="1" applyFont="1" applyFill="1" applyBorder="1" applyAlignment="1">
      <alignment vertical="top" shrinkToFit="1"/>
    </xf>
    <xf numFmtId="49" fontId="8" fillId="0" borderId="4" xfId="5" applyNumberFormat="1" applyFont="1" applyFill="1" applyBorder="1" applyAlignment="1">
      <alignment horizontal="center" vertical="top" wrapText="1"/>
    </xf>
    <xf numFmtId="2" fontId="8" fillId="0" borderId="8" xfId="3" applyNumberFormat="1" applyFont="1" applyFill="1" applyBorder="1" applyAlignment="1">
      <alignment vertical="top"/>
    </xf>
    <xf numFmtId="2" fontId="8" fillId="0" borderId="0" xfId="3" applyNumberFormat="1" applyFont="1" applyFill="1" applyBorder="1" applyAlignment="1">
      <alignment vertical="top" shrinkToFit="1"/>
    </xf>
    <xf numFmtId="2" fontId="8" fillId="0" borderId="9" xfId="3" applyNumberFormat="1" applyFont="1" applyFill="1" applyBorder="1" applyAlignment="1">
      <alignment vertical="top"/>
    </xf>
    <xf numFmtId="2" fontId="7" fillId="0" borderId="4" xfId="3" applyNumberFormat="1" applyFont="1" applyFill="1" applyBorder="1" applyAlignment="1">
      <alignment vertical="top"/>
    </xf>
    <xf numFmtId="0" fontId="8" fillId="0" borderId="4" xfId="3" applyNumberFormat="1" applyFont="1" applyFill="1" applyBorder="1" applyAlignment="1">
      <alignment horizontal="center" vertical="center" shrinkToFit="1"/>
    </xf>
    <xf numFmtId="2" fontId="8" fillId="0" borderId="4" xfId="3" applyNumberFormat="1" applyFont="1" applyFill="1" applyBorder="1" applyAlignment="1">
      <alignment horizontal="center" vertical="center"/>
    </xf>
    <xf numFmtId="2" fontId="8" fillId="0" borderId="24" xfId="3" applyNumberFormat="1" applyFont="1" applyFill="1" applyBorder="1" applyAlignment="1">
      <alignment vertical="top" shrinkToFit="1"/>
    </xf>
    <xf numFmtId="2" fontId="8" fillId="0" borderId="2" xfId="3" applyNumberFormat="1" applyFont="1" applyFill="1" applyBorder="1" applyAlignment="1">
      <alignment horizontal="center" vertical="center" shrinkToFit="1"/>
    </xf>
    <xf numFmtId="0" fontId="8" fillId="0" borderId="0" xfId="3" applyNumberFormat="1" applyFont="1" applyFill="1" applyAlignment="1">
      <alignment vertical="top"/>
    </xf>
    <xf numFmtId="49" fontId="7" fillId="0" borderId="32" xfId="3" applyNumberFormat="1" applyFont="1" applyFill="1" applyBorder="1" applyAlignment="1">
      <alignment horizontal="left" vertical="top" wrapText="1"/>
    </xf>
    <xf numFmtId="0" fontId="8" fillId="0" borderId="33" xfId="3" applyNumberFormat="1" applyFont="1" applyFill="1" applyBorder="1" applyAlignment="1">
      <alignment horizontal="center" vertical="center" shrinkToFit="1"/>
    </xf>
    <xf numFmtId="2" fontId="8" fillId="0" borderId="33" xfId="3" applyNumberFormat="1" applyFont="1" applyFill="1" applyBorder="1" applyAlignment="1">
      <alignment horizontal="center" vertical="center" shrinkToFit="1"/>
    </xf>
    <xf numFmtId="2" fontId="8" fillId="0" borderId="33" xfId="3" applyNumberFormat="1" applyFont="1" applyFill="1" applyBorder="1" applyAlignment="1">
      <alignment horizontal="center" vertical="center"/>
    </xf>
    <xf numFmtId="2" fontId="8" fillId="0" borderId="13" xfId="3" applyNumberFormat="1" applyFont="1" applyFill="1" applyBorder="1" applyAlignment="1">
      <alignment horizontal="center" vertical="center" shrinkToFit="1"/>
    </xf>
    <xf numFmtId="2" fontId="8" fillId="0" borderId="9" xfId="3" applyNumberFormat="1" applyFont="1" applyFill="1" applyBorder="1" applyAlignment="1">
      <alignment vertical="top" shrinkToFit="1"/>
    </xf>
    <xf numFmtId="2" fontId="8" fillId="0" borderId="17" xfId="3" applyNumberFormat="1" applyFont="1" applyFill="1" applyBorder="1" applyAlignment="1">
      <alignment vertical="center" shrinkToFit="1"/>
    </xf>
    <xf numFmtId="0" fontId="8" fillId="0" borderId="1" xfId="3" applyNumberFormat="1" applyFont="1" applyFill="1" applyBorder="1" applyAlignment="1">
      <alignment vertical="top"/>
    </xf>
    <xf numFmtId="0" fontId="3" fillId="0" borderId="14" xfId="3" applyNumberFormat="1" applyFont="1" applyFill="1" applyBorder="1" applyAlignment="1">
      <alignment vertical="top"/>
    </xf>
    <xf numFmtId="0" fontId="8" fillId="0" borderId="1" xfId="3" applyNumberFormat="1" applyFont="1" applyFill="1" applyBorder="1" applyAlignment="1">
      <alignment horizontal="center" vertical="center"/>
    </xf>
    <xf numFmtId="2" fontId="8" fillId="0" borderId="14" xfId="3" applyNumberFormat="1" applyFont="1" applyFill="1" applyBorder="1" applyAlignment="1">
      <alignment horizontal="center" vertical="center" shrinkToFit="1"/>
    </xf>
    <xf numFmtId="2" fontId="8" fillId="0" borderId="1" xfId="3" applyNumberFormat="1" applyFont="1" applyFill="1" applyBorder="1" applyAlignment="1">
      <alignment vertical="top"/>
    </xf>
    <xf numFmtId="2" fontId="8" fillId="0" borderId="1" xfId="3" applyNumberFormat="1" applyFont="1" applyFill="1" applyBorder="1" applyAlignment="1">
      <alignment vertical="top" shrinkToFit="1"/>
    </xf>
    <xf numFmtId="2" fontId="8" fillId="0" borderId="10" xfId="3" applyNumberFormat="1" applyFont="1" applyFill="1" applyBorder="1" applyAlignment="1">
      <alignment vertical="top"/>
    </xf>
    <xf numFmtId="2" fontId="8" fillId="0" borderId="11" xfId="3" applyNumberFormat="1" applyFont="1" applyFill="1" applyBorder="1" applyAlignment="1">
      <alignment vertical="top"/>
    </xf>
    <xf numFmtId="2" fontId="7" fillId="0" borderId="0" xfId="3" applyNumberFormat="1" applyFont="1" applyFill="1" applyBorder="1" applyAlignment="1">
      <alignment vertical="top"/>
    </xf>
    <xf numFmtId="0" fontId="8" fillId="0" borderId="0" xfId="3" applyNumberFormat="1" applyFont="1" applyFill="1" applyBorder="1" applyAlignment="1">
      <alignment horizontal="center" vertical="center" shrinkToFit="1"/>
    </xf>
    <xf numFmtId="2" fontId="8" fillId="0" borderId="0" xfId="3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 shrinkToFi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shrinkToFit="1"/>
    </xf>
    <xf numFmtId="0" fontId="5" fillId="0" borderId="3" xfId="5" applyNumberFormat="1" applyFont="1" applyFill="1" applyBorder="1" applyAlignment="1">
      <alignment vertical="top"/>
    </xf>
    <xf numFmtId="0" fontId="37" fillId="0" borderId="2" xfId="5" applyNumberFormat="1" applyFont="1" applyFill="1" applyBorder="1" applyAlignment="1">
      <alignment vertical="top"/>
    </xf>
    <xf numFmtId="0" fontId="5" fillId="0" borderId="3" xfId="5" applyNumberFormat="1" applyFont="1" applyFill="1" applyBorder="1" applyAlignment="1">
      <alignment horizontal="center" vertical="center"/>
    </xf>
    <xf numFmtId="2" fontId="5" fillId="0" borderId="2" xfId="5" applyNumberFormat="1" applyFont="1" applyFill="1" applyBorder="1" applyAlignment="1">
      <alignment horizontal="center" vertical="center" shrinkToFit="1"/>
    </xf>
    <xf numFmtId="2" fontId="5" fillId="0" borderId="3" xfId="5" applyNumberFormat="1" applyFont="1" applyFill="1" applyBorder="1" applyAlignment="1">
      <alignment vertical="top"/>
    </xf>
    <xf numFmtId="2" fontId="5" fillId="0" borderId="3" xfId="5" applyNumberFormat="1" applyFont="1" applyFill="1" applyBorder="1" applyAlignment="1">
      <alignment vertical="top" shrinkToFit="1"/>
    </xf>
    <xf numFmtId="2" fontId="5" fillId="0" borderId="35" xfId="5" applyNumberFormat="1" applyFont="1" applyFill="1" applyBorder="1" applyAlignment="1">
      <alignment vertical="top"/>
    </xf>
    <xf numFmtId="2" fontId="5" fillId="0" borderId="18" xfId="5" applyNumberFormat="1" applyFont="1" applyFill="1" applyBorder="1" applyAlignment="1">
      <alignment vertical="top"/>
    </xf>
    <xf numFmtId="2" fontId="37" fillId="0" borderId="3" xfId="5" applyNumberFormat="1" applyFont="1" applyFill="1" applyBorder="1" applyAlignment="1">
      <alignment vertical="top"/>
    </xf>
    <xf numFmtId="0" fontId="5" fillId="0" borderId="3" xfId="5" applyNumberFormat="1" applyFont="1" applyFill="1" applyBorder="1" applyAlignment="1">
      <alignment horizontal="center" vertical="center" shrinkToFit="1"/>
    </xf>
    <xf numFmtId="2" fontId="5" fillId="0" borderId="3" xfId="5" applyNumberFormat="1" applyFont="1" applyFill="1" applyBorder="1" applyAlignment="1">
      <alignment horizontal="center" vertical="center"/>
    </xf>
    <xf numFmtId="2" fontId="5" fillId="0" borderId="3" xfId="5" applyNumberFormat="1" applyFont="1" applyFill="1" applyBorder="1" applyAlignment="1">
      <alignment horizontal="center" vertical="center" shrinkToFit="1"/>
    </xf>
    <xf numFmtId="2" fontId="5" fillId="0" borderId="38" xfId="5" applyNumberFormat="1" applyFont="1" applyFill="1" applyBorder="1" applyAlignment="1">
      <alignment vertical="center" shrinkToFit="1"/>
    </xf>
    <xf numFmtId="0" fontId="5" fillId="0" borderId="4" xfId="5" applyNumberFormat="1" applyFont="1" applyFill="1" applyBorder="1" applyAlignment="1">
      <alignment vertical="top"/>
    </xf>
    <xf numFmtId="0" fontId="37" fillId="0" borderId="12" xfId="5" applyNumberFormat="1" applyFont="1" applyFill="1" applyBorder="1" applyAlignment="1">
      <alignment horizontal="center" vertical="top"/>
    </xf>
    <xf numFmtId="0" fontId="5" fillId="0" borderId="4" xfId="5" applyNumberFormat="1" applyFont="1" applyFill="1" applyBorder="1" applyAlignment="1">
      <alignment horizontal="center" vertical="center"/>
    </xf>
    <xf numFmtId="2" fontId="5" fillId="0" borderId="12" xfId="5" applyNumberFormat="1" applyFont="1" applyFill="1" applyBorder="1" applyAlignment="1">
      <alignment horizontal="center" vertical="center" shrinkToFit="1"/>
    </xf>
    <xf numFmtId="2" fontId="5" fillId="0" borderId="4" xfId="5" applyNumberFormat="1" applyFont="1" applyFill="1" applyBorder="1" applyAlignment="1">
      <alignment vertical="top"/>
    </xf>
    <xf numFmtId="2" fontId="5" fillId="0" borderId="4" xfId="5" applyNumberFormat="1" applyFont="1" applyFill="1" applyBorder="1" applyAlignment="1">
      <alignment vertical="top" shrinkToFit="1"/>
    </xf>
    <xf numFmtId="2" fontId="5" fillId="0" borderId="19" xfId="5" applyNumberFormat="1" applyFont="1" applyFill="1" applyBorder="1" applyAlignment="1">
      <alignment vertical="top"/>
    </xf>
    <xf numFmtId="2" fontId="5" fillId="0" borderId="24" xfId="5" applyNumberFormat="1" applyFont="1" applyFill="1" applyBorder="1" applyAlignment="1">
      <alignment vertical="top"/>
    </xf>
    <xf numFmtId="2" fontId="37" fillId="0" borderId="4" xfId="5" applyNumberFormat="1" applyFont="1" applyFill="1" applyBorder="1" applyAlignment="1">
      <alignment vertical="top"/>
    </xf>
    <xf numFmtId="0" fontId="5" fillId="0" borderId="4" xfId="5" applyNumberFormat="1" applyFont="1" applyFill="1" applyBorder="1" applyAlignment="1">
      <alignment horizontal="center" vertical="center" shrinkToFit="1"/>
    </xf>
    <xf numFmtId="2" fontId="5" fillId="0" borderId="4" xfId="5" applyNumberFormat="1" applyFont="1" applyFill="1" applyBorder="1" applyAlignment="1">
      <alignment horizontal="center" vertical="center"/>
    </xf>
    <xf numFmtId="2" fontId="5" fillId="0" borderId="4" xfId="5" applyNumberFormat="1" applyFont="1" applyFill="1" applyBorder="1" applyAlignment="1">
      <alignment horizontal="center" vertical="center" shrinkToFit="1"/>
    </xf>
    <xf numFmtId="2" fontId="5" fillId="0" borderId="51" xfId="5" applyNumberFormat="1" applyFont="1" applyFill="1" applyBorder="1" applyAlignment="1">
      <alignment vertical="center" shrinkToFit="1"/>
    </xf>
    <xf numFmtId="0" fontId="8" fillId="0" borderId="0" xfId="0" applyNumberFormat="1" applyFont="1" applyFill="1" applyBorder="1" applyAlignment="1">
      <alignment vertical="top"/>
    </xf>
    <xf numFmtId="2" fontId="8" fillId="0" borderId="28" xfId="0" applyNumberFormat="1" applyFont="1" applyFill="1" applyBorder="1" applyAlignment="1">
      <alignment horizontal="center" vertical="center" shrinkToFit="1"/>
    </xf>
    <xf numFmtId="2" fontId="8" fillId="0" borderId="23" xfId="0" applyNumberFormat="1" applyFont="1" applyFill="1" applyBorder="1" applyAlignment="1">
      <alignment horizontal="center" vertical="center" shrinkToFit="1"/>
    </xf>
    <xf numFmtId="0" fontId="8" fillId="0" borderId="33" xfId="5" applyNumberFormat="1" applyFont="1" applyFill="1" applyBorder="1" applyAlignment="1">
      <alignment horizontal="center" vertical="top" shrinkToFit="1"/>
    </xf>
    <xf numFmtId="2" fontId="8" fillId="0" borderId="33" xfId="5" applyNumberFormat="1" applyFont="1" applyFill="1" applyBorder="1" applyAlignment="1">
      <alignment horizontal="center" vertical="top" shrinkToFit="1"/>
    </xf>
    <xf numFmtId="0" fontId="37" fillId="0" borderId="2" xfId="5" applyNumberFormat="1" applyFont="1" applyFill="1" applyBorder="1" applyAlignment="1">
      <alignment horizontal="center" vertical="top"/>
    </xf>
    <xf numFmtId="164" fontId="8" fillId="0" borderId="14" xfId="0" applyNumberFormat="1" applyFont="1" applyFill="1" applyBorder="1" applyAlignment="1">
      <alignment horizontal="center" vertical="center" shrinkToFit="1"/>
    </xf>
    <xf numFmtId="49" fontId="8" fillId="0" borderId="4" xfId="6" applyNumberFormat="1" applyFont="1" applyFill="1" applyBorder="1" applyAlignment="1">
      <alignment horizontal="center" vertical="top" wrapText="1"/>
    </xf>
    <xf numFmtId="0" fontId="8" fillId="0" borderId="4" xfId="6" applyNumberFormat="1" applyFont="1" applyFill="1" applyBorder="1" applyAlignment="1">
      <alignment horizontal="center" vertical="center"/>
    </xf>
    <xf numFmtId="2" fontId="8" fillId="0" borderId="4" xfId="6" applyNumberFormat="1" applyFont="1" applyFill="1" applyBorder="1" applyAlignment="1">
      <alignment vertical="top"/>
    </xf>
    <xf numFmtId="2" fontId="8" fillId="0" borderId="4" xfId="6" applyNumberFormat="1" applyFont="1" applyFill="1" applyBorder="1" applyAlignment="1">
      <alignment vertical="top" shrinkToFit="1"/>
    </xf>
    <xf numFmtId="2" fontId="8" fillId="0" borderId="19" xfId="6" applyNumberFormat="1" applyFont="1" applyFill="1" applyBorder="1" applyAlignment="1">
      <alignment vertical="top"/>
    </xf>
    <xf numFmtId="2" fontId="8" fillId="0" borderId="24" xfId="6" applyNumberFormat="1" applyFont="1" applyFill="1" applyBorder="1" applyAlignment="1">
      <alignment vertical="top"/>
    </xf>
    <xf numFmtId="2" fontId="7" fillId="0" borderId="4" xfId="6" applyNumberFormat="1" applyFont="1" applyFill="1" applyBorder="1" applyAlignment="1">
      <alignment vertical="top"/>
    </xf>
    <xf numFmtId="0" fontId="8" fillId="0" borderId="4" xfId="6" applyNumberFormat="1" applyFont="1" applyFill="1" applyBorder="1" applyAlignment="1">
      <alignment horizontal="center" vertical="center" shrinkToFit="1"/>
    </xf>
    <xf numFmtId="2" fontId="8" fillId="0" borderId="4" xfId="6" applyNumberFormat="1" applyFont="1" applyFill="1" applyBorder="1" applyAlignment="1">
      <alignment horizontal="center" vertical="center"/>
    </xf>
    <xf numFmtId="2" fontId="8" fillId="0" borderId="4" xfId="6" applyNumberFormat="1" applyFont="1" applyFill="1" applyBorder="1" applyAlignment="1">
      <alignment horizontal="center" vertical="center" shrinkToFit="1"/>
    </xf>
    <xf numFmtId="2" fontId="8" fillId="0" borderId="24" xfId="6" applyNumberFormat="1" applyFont="1" applyFill="1" applyBorder="1" applyAlignment="1">
      <alignment vertical="top" shrinkToFit="1"/>
    </xf>
    <xf numFmtId="2" fontId="8" fillId="0" borderId="2" xfId="6" applyNumberFormat="1" applyFont="1" applyFill="1" applyBorder="1" applyAlignment="1">
      <alignment horizontal="center" vertical="center" shrinkToFit="1"/>
    </xf>
    <xf numFmtId="2" fontId="8" fillId="0" borderId="12" xfId="6" applyNumberFormat="1" applyFont="1" applyFill="1" applyBorder="1" applyAlignment="1">
      <alignment horizontal="center" vertical="center" shrinkToFit="1"/>
    </xf>
    <xf numFmtId="0" fontId="8" fillId="0" borderId="0" xfId="6" applyNumberFormat="1" applyFont="1" applyFill="1" applyAlignment="1">
      <alignment vertical="top"/>
    </xf>
    <xf numFmtId="49" fontId="8" fillId="0" borderId="0" xfId="6" applyNumberFormat="1" applyFont="1" applyFill="1" applyBorder="1" applyAlignment="1">
      <alignment horizontal="center" vertical="top" wrapText="1"/>
    </xf>
    <xf numFmtId="0" fontId="8" fillId="0" borderId="0" xfId="6" applyNumberFormat="1" applyFont="1" applyFill="1" applyBorder="1" applyAlignment="1">
      <alignment horizontal="center" vertical="center"/>
    </xf>
    <xf numFmtId="2" fontId="8" fillId="0" borderId="0" xfId="6" applyNumberFormat="1" applyFont="1" applyFill="1" applyBorder="1" applyAlignment="1">
      <alignment vertical="top"/>
    </xf>
    <xf numFmtId="2" fontId="8" fillId="0" borderId="9" xfId="6" applyNumberFormat="1" applyFont="1" applyFill="1" applyBorder="1" applyAlignment="1">
      <alignment vertical="top"/>
    </xf>
    <xf numFmtId="0" fontId="8" fillId="0" borderId="21" xfId="6" applyNumberFormat="1" applyFont="1" applyFill="1" applyBorder="1" applyAlignment="1">
      <alignment horizontal="center" vertical="center" shrinkToFit="1"/>
    </xf>
    <xf numFmtId="2" fontId="8" fillId="0" borderId="21" xfId="6" applyNumberFormat="1" applyFont="1" applyFill="1" applyBorder="1" applyAlignment="1">
      <alignment horizontal="center" vertical="center" shrinkToFit="1"/>
    </xf>
    <xf numFmtId="2" fontId="8" fillId="0" borderId="13" xfId="6" applyNumberFormat="1" applyFont="1" applyFill="1" applyBorder="1" applyAlignment="1">
      <alignment horizontal="center" vertical="center" shrinkToFit="1"/>
    </xf>
    <xf numFmtId="0" fontId="8" fillId="0" borderId="0" xfId="6" applyNumberFormat="1" applyFont="1" applyFill="1" applyBorder="1" applyAlignment="1">
      <alignment vertical="top"/>
    </xf>
    <xf numFmtId="2" fontId="8" fillId="0" borderId="0" xfId="6" applyNumberFormat="1" applyFont="1" applyFill="1" applyBorder="1" applyAlignment="1">
      <alignment vertical="top" shrinkToFit="1"/>
    </xf>
    <xf numFmtId="2" fontId="8" fillId="0" borderId="8" xfId="6" applyNumberFormat="1" applyFont="1" applyFill="1" applyBorder="1" applyAlignment="1">
      <alignment vertical="top"/>
    </xf>
    <xf numFmtId="0" fontId="8" fillId="0" borderId="23" xfId="6" applyNumberFormat="1" applyFont="1" applyFill="1" applyBorder="1" applyAlignment="1">
      <alignment horizontal="center" vertical="center" shrinkToFit="1"/>
    </xf>
    <xf numFmtId="2" fontId="8" fillId="0" borderId="23" xfId="6" applyNumberFormat="1" applyFont="1" applyFill="1" applyBorder="1" applyAlignment="1">
      <alignment horizontal="center" vertical="center"/>
    </xf>
    <xf numFmtId="2" fontId="8" fillId="0" borderId="23" xfId="6" applyNumberFormat="1" applyFont="1" applyFill="1" applyBorder="1" applyAlignment="1">
      <alignment horizontal="center" vertical="center" shrinkToFit="1"/>
    </xf>
    <xf numFmtId="2" fontId="8" fillId="0" borderId="26" xfId="6" applyNumberFormat="1" applyFont="1" applyFill="1" applyBorder="1" applyAlignment="1">
      <alignment vertical="top" shrinkToFit="1"/>
    </xf>
    <xf numFmtId="2" fontId="8" fillId="0" borderId="17" xfId="6" applyNumberFormat="1" applyFont="1" applyFill="1" applyBorder="1" applyAlignment="1">
      <alignment vertical="center" shrinkToFit="1"/>
    </xf>
    <xf numFmtId="0" fontId="8" fillId="0" borderId="1" xfId="6" applyNumberFormat="1" applyFont="1" applyFill="1" applyBorder="1" applyAlignment="1">
      <alignment vertical="top"/>
    </xf>
    <xf numFmtId="0" fontId="3" fillId="0" borderId="14" xfId="6" applyNumberFormat="1" applyFont="1" applyFill="1" applyBorder="1" applyAlignment="1">
      <alignment vertical="top"/>
    </xf>
    <xf numFmtId="0" fontId="8" fillId="0" borderId="1" xfId="6" applyNumberFormat="1" applyFont="1" applyFill="1" applyBorder="1" applyAlignment="1">
      <alignment horizontal="center" vertical="center"/>
    </xf>
    <xf numFmtId="2" fontId="8" fillId="0" borderId="14" xfId="6" applyNumberFormat="1" applyFont="1" applyFill="1" applyBorder="1" applyAlignment="1">
      <alignment horizontal="center" vertical="center" shrinkToFit="1"/>
    </xf>
    <xf numFmtId="2" fontId="8" fillId="0" borderId="1" xfId="6" applyNumberFormat="1" applyFont="1" applyFill="1" applyBorder="1" applyAlignment="1">
      <alignment vertical="top"/>
    </xf>
    <xf numFmtId="2" fontId="8" fillId="0" borderId="1" xfId="6" applyNumberFormat="1" applyFont="1" applyFill="1" applyBorder="1" applyAlignment="1">
      <alignment vertical="top" shrinkToFit="1"/>
    </xf>
    <xf numFmtId="2" fontId="8" fillId="0" borderId="10" xfId="6" applyNumberFormat="1" applyFont="1" applyFill="1" applyBorder="1" applyAlignment="1">
      <alignment vertical="top"/>
    </xf>
    <xf numFmtId="2" fontId="8" fillId="0" borderId="11" xfId="6" applyNumberFormat="1" applyFont="1" applyFill="1" applyBorder="1" applyAlignment="1">
      <alignment vertical="top"/>
    </xf>
    <xf numFmtId="2" fontId="7" fillId="0" borderId="1" xfId="6" applyNumberFormat="1" applyFont="1" applyFill="1" applyBorder="1" applyAlignment="1">
      <alignment vertical="top"/>
    </xf>
    <xf numFmtId="0" fontId="8" fillId="0" borderId="1" xfId="6" applyNumberFormat="1" applyFont="1" applyFill="1" applyBorder="1" applyAlignment="1">
      <alignment horizontal="center" vertical="center" shrinkToFit="1"/>
    </xf>
    <xf numFmtId="2" fontId="8" fillId="0" borderId="1" xfId="6" applyNumberFormat="1" applyFont="1" applyFill="1" applyBorder="1" applyAlignment="1">
      <alignment horizontal="center" vertical="center"/>
    </xf>
    <xf numFmtId="2" fontId="8" fillId="0" borderId="1" xfId="6" applyNumberFormat="1" applyFont="1" applyFill="1" applyBorder="1" applyAlignment="1">
      <alignment horizontal="center" vertical="center" shrinkToFit="1"/>
    </xf>
    <xf numFmtId="2" fontId="8" fillId="0" borderId="11" xfId="6" applyNumberFormat="1" applyFont="1" applyFill="1" applyBorder="1" applyAlignment="1">
      <alignment vertical="top" shrinkToFit="1"/>
    </xf>
    <xf numFmtId="2" fontId="8" fillId="0" borderId="39" xfId="6" applyNumberFormat="1" applyFont="1" applyFill="1" applyBorder="1" applyAlignment="1">
      <alignment vertical="center" shrinkToFit="1"/>
    </xf>
    <xf numFmtId="0" fontId="37" fillId="0" borderId="18" xfId="5" applyNumberFormat="1" applyFont="1" applyFill="1" applyBorder="1" applyAlignment="1">
      <alignment vertical="top"/>
    </xf>
    <xf numFmtId="2" fontId="5" fillId="0" borderId="35" xfId="5" applyNumberFormat="1" applyFont="1" applyFill="1" applyBorder="1" applyAlignment="1">
      <alignment horizontal="center" vertical="center" shrinkToFit="1"/>
    </xf>
    <xf numFmtId="0" fontId="3" fillId="0" borderId="9" xfId="0" applyNumberFormat="1" applyFont="1" applyFill="1" applyBorder="1" applyAlignment="1">
      <alignment vertical="top"/>
    </xf>
    <xf numFmtId="2" fontId="8" fillId="0" borderId="8" xfId="0" applyNumberFormat="1" applyFont="1" applyFill="1" applyBorder="1" applyAlignment="1">
      <alignment horizontal="center" vertical="center" shrinkToFit="1"/>
    </xf>
    <xf numFmtId="2" fontId="8" fillId="0" borderId="36" xfId="0" applyNumberFormat="1" applyFont="1" applyFill="1" applyBorder="1" applyAlignment="1">
      <alignment vertical="center" shrinkToFit="1"/>
    </xf>
    <xf numFmtId="10" fontId="8" fillId="0" borderId="0" xfId="0" applyNumberFormat="1" applyFont="1" applyFill="1" applyBorder="1" applyAlignment="1">
      <alignment horizontal="center" vertical="center"/>
    </xf>
    <xf numFmtId="0" fontId="8" fillId="0" borderId="0" xfId="5" applyNumberFormat="1" applyFont="1" applyFill="1" applyBorder="1" applyAlignment="1">
      <alignment horizontal="center" vertical="top"/>
    </xf>
    <xf numFmtId="0" fontId="3" fillId="0" borderId="0" xfId="5" applyNumberFormat="1" applyFont="1" applyFill="1" applyBorder="1" applyAlignment="1">
      <alignment vertical="top"/>
    </xf>
    <xf numFmtId="2" fontId="8" fillId="0" borderId="0" xfId="5" applyNumberFormat="1" applyFont="1" applyFill="1" applyBorder="1" applyAlignment="1">
      <alignment vertical="center" shrinkToFit="1"/>
    </xf>
    <xf numFmtId="0" fontId="35" fillId="0" borderId="0" xfId="5" applyFont="1" applyFill="1" applyAlignment="1">
      <alignment shrinkToFit="1"/>
    </xf>
    <xf numFmtId="164" fontId="8" fillId="0" borderId="21" xfId="5" applyNumberFormat="1" applyFont="1" applyFill="1" applyBorder="1" applyAlignment="1">
      <alignment vertical="top" shrinkToFit="1"/>
    </xf>
    <xf numFmtId="2" fontId="8" fillId="0" borderId="23" xfId="5" applyNumberFormat="1" applyFont="1" applyFill="1" applyBorder="1" applyAlignment="1">
      <alignment vertical="top"/>
    </xf>
    <xf numFmtId="2" fontId="8" fillId="0" borderId="21" xfId="0" applyNumberFormat="1" applyFont="1" applyFill="1" applyBorder="1" applyAlignment="1">
      <alignment vertical="top" shrinkToFit="1"/>
    </xf>
    <xf numFmtId="2" fontId="8" fillId="0" borderId="23" xfId="0" applyNumberFormat="1" applyFont="1" applyFill="1" applyBorder="1" applyAlignment="1">
      <alignment vertical="top"/>
    </xf>
    <xf numFmtId="2" fontId="8" fillId="0" borderId="33" xfId="5" applyNumberFormat="1" applyFont="1" applyFill="1" applyBorder="1" applyAlignment="1">
      <alignment vertical="top" shrinkToFit="1"/>
    </xf>
    <xf numFmtId="2" fontId="8" fillId="0" borderId="28" xfId="0" applyNumberFormat="1" applyFont="1" applyFill="1" applyBorder="1" applyAlignment="1">
      <alignment vertical="top"/>
    </xf>
    <xf numFmtId="2" fontId="8" fillId="0" borderId="21" xfId="5" applyNumberFormat="1" applyFont="1" applyFill="1" applyBorder="1" applyAlignment="1">
      <alignment vertical="top" shrinkToFit="1"/>
    </xf>
    <xf numFmtId="2" fontId="8" fillId="0" borderId="28" xfId="5" applyNumberFormat="1" applyFont="1" applyFill="1" applyBorder="1" applyAlignment="1">
      <alignment vertical="top"/>
    </xf>
    <xf numFmtId="2" fontId="8" fillId="0" borderId="4" xfId="3" applyNumberFormat="1" applyFont="1" applyFill="1" applyBorder="1" applyAlignment="1">
      <alignment vertical="top"/>
    </xf>
    <xf numFmtId="2" fontId="8" fillId="0" borderId="33" xfId="3" applyNumberFormat="1" applyFont="1" applyFill="1" applyBorder="1" applyAlignment="1">
      <alignment vertical="top" shrinkToFit="1"/>
    </xf>
    <xf numFmtId="2" fontId="8" fillId="0" borderId="0" xfId="3" applyNumberFormat="1" applyFont="1" applyFill="1" applyBorder="1" applyAlignment="1">
      <alignment vertical="top"/>
    </xf>
    <xf numFmtId="2" fontId="8" fillId="0" borderId="3" xfId="0" applyNumberFormat="1" applyFont="1" applyFill="1" applyBorder="1" applyAlignment="1">
      <alignment vertical="top"/>
    </xf>
    <xf numFmtId="2" fontId="8" fillId="0" borderId="30" xfId="0" applyNumberFormat="1" applyFont="1" applyFill="1" applyBorder="1" applyAlignment="1">
      <alignment vertical="top" shrinkToFit="1"/>
    </xf>
    <xf numFmtId="2" fontId="8" fillId="0" borderId="4" xfId="2" applyNumberFormat="1" applyFont="1" applyFill="1" applyBorder="1" applyAlignment="1">
      <alignment vertical="top"/>
    </xf>
    <xf numFmtId="2" fontId="8" fillId="0" borderId="33" xfId="2" applyNumberFormat="1" applyFont="1" applyFill="1" applyBorder="1" applyAlignment="1">
      <alignment vertical="top" shrinkToFit="1"/>
    </xf>
    <xf numFmtId="2" fontId="8" fillId="0" borderId="21" xfId="6" applyNumberFormat="1" applyFont="1" applyFill="1" applyBorder="1" applyAlignment="1">
      <alignment vertical="top" shrinkToFit="1"/>
    </xf>
    <xf numFmtId="2" fontId="8" fillId="0" borderId="23" xfId="6" applyNumberFormat="1" applyFont="1" applyFill="1" applyBorder="1" applyAlignment="1">
      <alignment vertical="top"/>
    </xf>
    <xf numFmtId="2" fontId="8" fillId="0" borderId="12" xfId="5" applyNumberFormat="1" applyFont="1" applyFill="1" applyBorder="1" applyAlignment="1">
      <alignment vertical="center" shrinkToFit="1"/>
    </xf>
    <xf numFmtId="2" fontId="8" fillId="0" borderId="13" xfId="5" applyNumberFormat="1" applyFont="1" applyFill="1" applyBorder="1" applyAlignment="1">
      <alignment vertical="center" shrinkToFit="1"/>
    </xf>
    <xf numFmtId="0" fontId="34" fillId="0" borderId="0" xfId="5" applyFont="1" applyFill="1" applyAlignment="1"/>
    <xf numFmtId="0" fontId="7" fillId="0" borderId="4" xfId="5" applyFont="1" applyFill="1" applyBorder="1"/>
    <xf numFmtId="0" fontId="7" fillId="0" borderId="0" xfId="5" applyFont="1" applyFill="1" applyBorder="1"/>
    <xf numFmtId="165" fontId="8" fillId="0" borderId="0" xfId="5" applyNumberFormat="1" applyFont="1" applyFill="1" applyBorder="1" applyAlignment="1">
      <alignment vertical="top"/>
    </xf>
    <xf numFmtId="165" fontId="8" fillId="0" borderId="9" xfId="5" applyNumberFormat="1" applyFont="1" applyFill="1" applyBorder="1" applyAlignment="1">
      <alignment vertical="top"/>
    </xf>
    <xf numFmtId="0" fontId="8" fillId="0" borderId="12" xfId="0" applyNumberFormat="1" applyFont="1" applyFill="1" applyBorder="1" applyAlignment="1">
      <alignment horizontal="center" vertical="top" shrinkToFit="1"/>
    </xf>
    <xf numFmtId="0" fontId="8" fillId="0" borderId="13" xfId="5" applyNumberFormat="1" applyFont="1" applyFill="1" applyBorder="1" applyAlignment="1">
      <alignment horizontal="center" vertical="top"/>
    </xf>
    <xf numFmtId="0" fontId="8" fillId="0" borderId="14" xfId="5" applyNumberFormat="1" applyFont="1" applyFill="1" applyBorder="1" applyAlignment="1">
      <alignment horizontal="center" vertical="top"/>
    </xf>
    <xf numFmtId="2" fontId="8" fillId="0" borderId="14" xfId="5" applyNumberFormat="1" applyFont="1" applyFill="1" applyBorder="1" applyAlignment="1">
      <alignment vertical="center" shrinkToFit="1"/>
    </xf>
    <xf numFmtId="0" fontId="8" fillId="0" borderId="13" xfId="0" applyNumberFormat="1" applyFont="1" applyFill="1" applyBorder="1" applyAlignment="1">
      <alignment horizontal="center" vertical="top" shrinkToFit="1"/>
    </xf>
    <xf numFmtId="0" fontId="8" fillId="0" borderId="13" xfId="0" applyNumberFormat="1" applyFont="1" applyFill="1" applyBorder="1" applyAlignment="1">
      <alignment horizontal="center" vertical="top"/>
    </xf>
    <xf numFmtId="0" fontId="8" fillId="0" borderId="14" xfId="0" applyNumberFormat="1" applyFont="1" applyFill="1" applyBorder="1" applyAlignment="1">
      <alignment horizontal="center" vertical="top"/>
    </xf>
    <xf numFmtId="0" fontId="8" fillId="0" borderId="13" xfId="3" applyNumberFormat="1" applyFont="1" applyFill="1" applyBorder="1" applyAlignment="1">
      <alignment horizontal="center" vertical="top" shrinkToFit="1"/>
    </xf>
    <xf numFmtId="49" fontId="8" fillId="0" borderId="0" xfId="3" applyNumberFormat="1" applyFont="1" applyFill="1" applyBorder="1" applyAlignment="1">
      <alignment horizontal="center" vertical="top" wrapText="1"/>
    </xf>
    <xf numFmtId="0" fontId="8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vertical="top"/>
    </xf>
    <xf numFmtId="0" fontId="8" fillId="0" borderId="13" xfId="3" applyNumberFormat="1" applyFont="1" applyFill="1" applyBorder="1" applyAlignment="1">
      <alignment horizontal="center" vertical="top"/>
    </xf>
    <xf numFmtId="0" fontId="8" fillId="0" borderId="14" xfId="3" applyNumberFormat="1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vertical="top"/>
    </xf>
    <xf numFmtId="0" fontId="8" fillId="0" borderId="13" xfId="2" applyNumberFormat="1" applyFont="1" applyFill="1" applyBorder="1" applyAlignment="1">
      <alignment horizontal="center" vertical="top" shrinkToFit="1"/>
    </xf>
    <xf numFmtId="49" fontId="8" fillId="0" borderId="0" xfId="2" applyNumberFormat="1" applyFont="1" applyFill="1" applyBorder="1" applyAlignment="1">
      <alignment horizontal="center" vertical="top" wrapText="1"/>
    </xf>
    <xf numFmtId="0" fontId="8" fillId="0" borderId="0" xfId="2" applyNumberFormat="1" applyFont="1" applyFill="1" applyBorder="1" applyAlignment="1">
      <alignment horizontal="center" vertical="center"/>
    </xf>
    <xf numFmtId="0" fontId="8" fillId="0" borderId="0" xfId="2" applyNumberFormat="1" applyFont="1" applyFill="1" applyBorder="1" applyAlignment="1">
      <alignment vertical="top"/>
    </xf>
    <xf numFmtId="0" fontId="8" fillId="0" borderId="13" xfId="2" applyNumberFormat="1" applyFont="1" applyFill="1" applyBorder="1" applyAlignment="1">
      <alignment horizontal="center" vertical="top"/>
    </xf>
    <xf numFmtId="0" fontId="8" fillId="0" borderId="14" xfId="2" applyNumberFormat="1" applyFont="1" applyFill="1" applyBorder="1" applyAlignment="1">
      <alignment horizontal="center" vertical="top"/>
    </xf>
    <xf numFmtId="0" fontId="5" fillId="0" borderId="2" xfId="5" applyNumberFormat="1" applyFont="1" applyFill="1" applyBorder="1" applyAlignment="1">
      <alignment horizontal="center" vertical="top"/>
    </xf>
    <xf numFmtId="2" fontId="5" fillId="0" borderId="18" xfId="5" applyNumberFormat="1" applyFont="1" applyFill="1" applyBorder="1" applyAlignment="1">
      <alignment vertical="center" shrinkToFit="1"/>
    </xf>
    <xf numFmtId="0" fontId="5" fillId="0" borderId="12" xfId="5" applyNumberFormat="1" applyFont="1" applyFill="1" applyBorder="1" applyAlignment="1">
      <alignment horizontal="center" vertical="top"/>
    </xf>
    <xf numFmtId="2" fontId="5" fillId="0" borderId="24" xfId="5" applyNumberFormat="1" applyFont="1" applyFill="1" applyBorder="1" applyAlignment="1">
      <alignment vertical="center" shrinkToFit="1"/>
    </xf>
    <xf numFmtId="0" fontId="8" fillId="0" borderId="12" xfId="6" applyNumberFormat="1" applyFont="1" applyFill="1" applyBorder="1" applyAlignment="1">
      <alignment horizontal="center" vertical="top" shrinkToFit="1"/>
    </xf>
    <xf numFmtId="0" fontId="8" fillId="0" borderId="13" xfId="6" applyNumberFormat="1" applyFont="1" applyFill="1" applyBorder="1" applyAlignment="1">
      <alignment horizontal="center" vertical="top"/>
    </xf>
    <xf numFmtId="0" fontId="8" fillId="0" borderId="14" xfId="6" applyNumberFormat="1" applyFont="1" applyFill="1" applyBorder="1" applyAlignment="1">
      <alignment horizontal="center" vertical="top"/>
    </xf>
    <xf numFmtId="0" fontId="5" fillId="0" borderId="35" xfId="5" applyNumberFormat="1" applyFont="1" applyFill="1" applyBorder="1" applyAlignment="1">
      <alignment horizontal="center" vertical="top"/>
    </xf>
    <xf numFmtId="0" fontId="8" fillId="0" borderId="8" xfId="0" applyNumberFormat="1" applyFont="1" applyFill="1" applyBorder="1" applyAlignment="1">
      <alignment horizontal="center" vertical="top"/>
    </xf>
    <xf numFmtId="2" fontId="8" fillId="0" borderId="9" xfId="0" applyNumberFormat="1" applyFont="1" applyFill="1" applyBorder="1" applyAlignment="1">
      <alignment vertical="center" shrinkToFit="1"/>
    </xf>
    <xf numFmtId="0" fontId="4" fillId="0" borderId="52" xfId="0" applyNumberFormat="1" applyFont="1" applyFill="1" applyBorder="1" applyAlignment="1">
      <alignment horizontal="right" vertical="center"/>
    </xf>
    <xf numFmtId="0" fontId="4" fillId="0" borderId="15" xfId="0" applyNumberFormat="1" applyFont="1" applyFill="1" applyBorder="1" applyAlignment="1">
      <alignment horizontal="right" vertical="center"/>
    </xf>
    <xf numFmtId="0" fontId="4" fillId="0" borderId="53" xfId="0" applyNumberFormat="1" applyFont="1" applyFill="1" applyBorder="1" applyAlignment="1">
      <alignment horizontal="right" vertical="center"/>
    </xf>
    <xf numFmtId="2" fontId="4" fillId="0" borderId="52" xfId="0" applyNumberFormat="1" applyFont="1" applyFill="1" applyBorder="1" applyAlignment="1">
      <alignment horizontal="right" vertical="center" shrinkToFit="1"/>
    </xf>
    <xf numFmtId="2" fontId="4" fillId="0" borderId="15" xfId="0" applyNumberFormat="1" applyFont="1" applyFill="1" applyBorder="1" applyAlignment="1">
      <alignment horizontal="right" vertical="center"/>
    </xf>
    <xf numFmtId="2" fontId="4" fillId="0" borderId="15" xfId="0" applyNumberFormat="1" applyFont="1" applyFill="1" applyBorder="1" applyAlignment="1">
      <alignment horizontal="right" vertical="center" shrinkToFit="1"/>
    </xf>
    <xf numFmtId="0" fontId="4" fillId="0" borderId="15" xfId="0" applyNumberFormat="1" applyFont="1" applyFill="1" applyBorder="1" applyAlignment="1">
      <alignment horizontal="right" vertical="center" shrinkToFit="1"/>
    </xf>
    <xf numFmtId="2" fontId="4" fillId="0" borderId="54" xfId="0" applyNumberFormat="1" applyFont="1" applyFill="1" applyBorder="1" applyAlignment="1">
      <alignment horizontal="right" vertical="center" shrinkToFit="1"/>
    </xf>
    <xf numFmtId="2" fontId="4" fillId="0" borderId="53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center" wrapText="1"/>
    </xf>
    <xf numFmtId="0" fontId="4" fillId="0" borderId="0" xfId="5" applyFont="1" applyFill="1" applyBorder="1" applyAlignment="1">
      <alignment horizontal="center"/>
    </xf>
    <xf numFmtId="2" fontId="8" fillId="0" borderId="12" xfId="3" applyNumberFormat="1" applyFont="1" applyFill="1" applyBorder="1" applyAlignment="1">
      <alignment horizontal="center" vertical="center" shrinkToFit="1"/>
    </xf>
    <xf numFmtId="2" fontId="8" fillId="0" borderId="13" xfId="3" applyNumberFormat="1" applyFont="1" applyFill="1" applyBorder="1" applyAlignment="1">
      <alignment horizontal="center" vertical="center" shrinkToFit="1"/>
    </xf>
    <xf numFmtId="2" fontId="8" fillId="0" borderId="37" xfId="3" applyNumberFormat="1" applyFont="1" applyFill="1" applyBorder="1" applyAlignment="1">
      <alignment horizontal="center" vertical="center" shrinkToFit="1"/>
    </xf>
    <xf numFmtId="2" fontId="8" fillId="0" borderId="17" xfId="3" applyNumberFormat="1" applyFont="1" applyFill="1" applyBorder="1" applyAlignment="1">
      <alignment horizontal="center" vertical="center" shrinkToFit="1"/>
    </xf>
    <xf numFmtId="2" fontId="8" fillId="0" borderId="12" xfId="5" applyNumberFormat="1" applyFont="1" applyFill="1" applyBorder="1" applyAlignment="1">
      <alignment horizontal="center" vertical="center" shrinkToFit="1"/>
    </xf>
    <xf numFmtId="2" fontId="8" fillId="0" borderId="13" xfId="5" applyNumberFormat="1" applyFont="1" applyFill="1" applyBorder="1" applyAlignment="1">
      <alignment horizontal="center" vertical="center" shrinkToFit="1"/>
    </xf>
    <xf numFmtId="49" fontId="8" fillId="0" borderId="12" xfId="5" applyNumberFormat="1" applyFont="1" applyFill="1" applyBorder="1" applyAlignment="1">
      <alignment horizontal="left" vertical="top" wrapText="1"/>
    </xf>
    <xf numFmtId="49" fontId="8" fillId="0" borderId="13" xfId="5" applyNumberFormat="1" applyFont="1" applyFill="1" applyBorder="1" applyAlignment="1">
      <alignment horizontal="left" vertical="top" wrapText="1"/>
    </xf>
    <xf numFmtId="2" fontId="8" fillId="0" borderId="37" xfId="5" applyNumberFormat="1" applyFont="1" applyFill="1" applyBorder="1" applyAlignment="1">
      <alignment horizontal="center" vertical="center" shrinkToFit="1"/>
    </xf>
    <xf numFmtId="2" fontId="8" fillId="0" borderId="17" xfId="5" applyNumberFormat="1" applyFont="1" applyFill="1" applyBorder="1" applyAlignment="1">
      <alignment horizontal="center" vertical="center" shrinkToFit="1"/>
    </xf>
    <xf numFmtId="49" fontId="8" fillId="0" borderId="13" xfId="0" applyNumberFormat="1" applyFont="1" applyFill="1" applyBorder="1" applyAlignment="1">
      <alignment horizontal="left" vertical="top" wrapText="1"/>
    </xf>
    <xf numFmtId="2" fontId="8" fillId="0" borderId="13" xfId="0" applyNumberFormat="1" applyFont="1" applyFill="1" applyBorder="1" applyAlignment="1">
      <alignment horizontal="center" vertical="center" shrinkToFit="1"/>
    </xf>
    <xf numFmtId="2" fontId="8" fillId="0" borderId="17" xfId="0" applyNumberFormat="1" applyFont="1" applyFill="1" applyBorder="1" applyAlignment="1">
      <alignment horizontal="center" vertical="center" shrinkToFit="1"/>
    </xf>
    <xf numFmtId="2" fontId="8" fillId="0" borderId="12" xfId="0" applyNumberFormat="1" applyFont="1" applyFill="1" applyBorder="1" applyAlignment="1">
      <alignment horizontal="center" vertical="center" shrinkToFit="1"/>
    </xf>
    <xf numFmtId="49" fontId="8" fillId="0" borderId="12" xfId="0" applyNumberFormat="1" applyFont="1" applyFill="1" applyBorder="1" applyAlignment="1">
      <alignment horizontal="left" vertical="top" wrapText="1"/>
    </xf>
    <xf numFmtId="2" fontId="8" fillId="0" borderId="37" xfId="0" applyNumberFormat="1" applyFont="1" applyFill="1" applyBorder="1" applyAlignment="1">
      <alignment horizontal="center" vertical="center" shrinkToFit="1"/>
    </xf>
    <xf numFmtId="49" fontId="7" fillId="0" borderId="20" xfId="0" applyNumberFormat="1" applyFont="1" applyFill="1" applyBorder="1" applyAlignment="1">
      <alignment horizontal="left" vertical="top" wrapText="1"/>
    </xf>
    <xf numFmtId="49" fontId="7" fillId="0" borderId="27" xfId="0" applyNumberFormat="1" applyFont="1" applyFill="1" applyBorder="1" applyAlignment="1">
      <alignment horizontal="left" vertical="top" wrapText="1"/>
    </xf>
    <xf numFmtId="49" fontId="8" fillId="0" borderId="12" xfId="6" applyNumberFormat="1" applyFont="1" applyFill="1" applyBorder="1" applyAlignment="1">
      <alignment horizontal="left" vertical="top" wrapText="1"/>
    </xf>
    <xf numFmtId="49" fontId="8" fillId="0" borderId="13" xfId="6" applyNumberFormat="1" applyFont="1" applyFill="1" applyBorder="1" applyAlignment="1">
      <alignment horizontal="left" vertical="top" wrapText="1"/>
    </xf>
    <xf numFmtId="2" fontId="8" fillId="0" borderId="12" xfId="6" applyNumberFormat="1" applyFont="1" applyFill="1" applyBorder="1" applyAlignment="1">
      <alignment horizontal="center" vertical="center" shrinkToFit="1"/>
    </xf>
    <xf numFmtId="2" fontId="8" fillId="0" borderId="13" xfId="6" applyNumberFormat="1" applyFont="1" applyFill="1" applyBorder="1" applyAlignment="1">
      <alignment horizontal="center" vertical="center" shrinkToFit="1"/>
    </xf>
    <xf numFmtId="2" fontId="8" fillId="0" borderId="37" xfId="6" applyNumberFormat="1" applyFont="1" applyFill="1" applyBorder="1" applyAlignment="1">
      <alignment horizontal="center" vertical="center" shrinkToFit="1"/>
    </xf>
    <xf numFmtId="2" fontId="8" fillId="0" borderId="17" xfId="6" applyNumberFormat="1" applyFont="1" applyFill="1" applyBorder="1" applyAlignment="1">
      <alignment horizontal="center" vertical="center" shrinkToFit="1"/>
    </xf>
    <xf numFmtId="49" fontId="7" fillId="0" borderId="20" xfId="6" applyNumberFormat="1" applyFont="1" applyFill="1" applyBorder="1" applyAlignment="1">
      <alignment horizontal="left" vertical="top" wrapText="1"/>
    </xf>
    <xf numFmtId="49" fontId="7" fillId="0" borderId="22" xfId="6" applyNumberFormat="1" applyFont="1" applyFill="1" applyBorder="1" applyAlignment="1">
      <alignment horizontal="left" vertical="top" wrapText="1"/>
    </xf>
    <xf numFmtId="49" fontId="8" fillId="0" borderId="12" xfId="3" applyNumberFormat="1" applyFont="1" applyFill="1" applyBorder="1" applyAlignment="1">
      <alignment horizontal="left" vertical="top" wrapText="1"/>
    </xf>
    <xf numFmtId="49" fontId="8" fillId="0" borderId="13" xfId="3" applyNumberFormat="1" applyFont="1" applyFill="1" applyBorder="1" applyAlignment="1">
      <alignment horizontal="left" vertical="top" wrapText="1"/>
    </xf>
    <xf numFmtId="49" fontId="7" fillId="0" borderId="22" xfId="0" applyNumberFormat="1" applyFont="1" applyFill="1" applyBorder="1" applyAlignment="1">
      <alignment horizontal="left" vertical="top" wrapText="1"/>
    </xf>
    <xf numFmtId="49" fontId="8" fillId="0" borderId="4" xfId="5" applyNumberFormat="1" applyFont="1" applyFill="1" applyBorder="1" applyAlignment="1">
      <alignment horizontal="center" vertical="top" wrapText="1"/>
    </xf>
    <xf numFmtId="49" fontId="8" fillId="0" borderId="0" xfId="5" applyNumberFormat="1" applyFont="1" applyFill="1" applyBorder="1" applyAlignment="1">
      <alignment horizontal="center" vertical="top" wrapText="1"/>
    </xf>
    <xf numFmtId="49" fontId="7" fillId="0" borderId="20" xfId="5" applyNumberFormat="1" applyFont="1" applyFill="1" applyBorder="1" applyAlignment="1">
      <alignment horizontal="left" vertical="top" wrapText="1"/>
    </xf>
    <xf numFmtId="49" fontId="7" fillId="0" borderId="27" xfId="5" applyNumberFormat="1" applyFont="1" applyFill="1" applyBorder="1" applyAlignment="1">
      <alignment horizontal="left" vertical="top" wrapText="1"/>
    </xf>
    <xf numFmtId="49" fontId="7" fillId="0" borderId="22" xfId="5" applyNumberFormat="1" applyFont="1" applyFill="1" applyBorder="1" applyAlignment="1">
      <alignment horizontal="left" vertical="top" wrapText="1"/>
    </xf>
    <xf numFmtId="0" fontId="7" fillId="0" borderId="12" xfId="5" applyFont="1" applyFill="1" applyBorder="1" applyAlignment="1">
      <alignment horizontal="center" vertical="center" textRotation="90" wrapText="1"/>
    </xf>
    <xf numFmtId="0" fontId="7" fillId="0" borderId="13" xfId="5" applyFont="1" applyFill="1" applyBorder="1" applyAlignment="1">
      <alignment horizontal="center" textRotation="90" wrapText="1"/>
    </xf>
    <xf numFmtId="0" fontId="7" fillId="0" borderId="14" xfId="5" applyFont="1" applyFill="1" applyBorder="1" applyAlignment="1">
      <alignment horizontal="center" textRotation="90" wrapText="1"/>
    </xf>
    <xf numFmtId="0" fontId="7" fillId="0" borderId="37" xfId="5" applyFont="1" applyFill="1" applyBorder="1" applyAlignment="1">
      <alignment horizontal="center" vertical="center" textRotation="90" wrapText="1"/>
    </xf>
    <xf numFmtId="0" fontId="7" fillId="0" borderId="17" xfId="5" applyFont="1" applyFill="1" applyBorder="1" applyAlignment="1">
      <alignment horizontal="center" textRotation="90" wrapText="1"/>
    </xf>
    <xf numFmtId="0" fontId="7" fillId="0" borderId="39" xfId="5" applyFont="1" applyFill="1" applyBorder="1" applyAlignment="1">
      <alignment horizontal="center" textRotation="90" wrapText="1"/>
    </xf>
    <xf numFmtId="0" fontId="8" fillId="0" borderId="4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7" fillId="0" borderId="2" xfId="5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 textRotation="90" wrapText="1"/>
    </xf>
    <xf numFmtId="0" fontId="4" fillId="0" borderId="16" xfId="5" applyNumberFormat="1" applyFont="1" applyFill="1" applyBorder="1" applyAlignment="1">
      <alignment horizontal="left" vertical="center"/>
    </xf>
    <xf numFmtId="0" fontId="4" fillId="0" borderId="6" xfId="5" applyFont="1" applyFill="1" applyBorder="1" applyAlignment="1">
      <alignment horizontal="left" vertical="center"/>
    </xf>
    <xf numFmtId="0" fontId="4" fillId="0" borderId="16" xfId="5" applyFont="1" applyFill="1" applyBorder="1" applyAlignment="1">
      <alignment horizontal="left" vertical="center"/>
    </xf>
    <xf numFmtId="0" fontId="4" fillId="0" borderId="5" xfId="5" applyFont="1" applyFill="1" applyBorder="1" applyAlignment="1">
      <alignment horizontal="left" vertical="center"/>
    </xf>
    <xf numFmtId="0" fontId="4" fillId="0" borderId="7" xfId="5" applyFont="1" applyFill="1" applyBorder="1" applyAlignment="1">
      <alignment horizontal="left" vertical="center"/>
    </xf>
    <xf numFmtId="0" fontId="4" fillId="0" borderId="50" xfId="5" applyFont="1" applyFill="1" applyBorder="1" applyAlignment="1">
      <alignment horizontal="left" vertical="center"/>
    </xf>
    <xf numFmtId="0" fontId="4" fillId="0" borderId="13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horizontal="left" vertical="center"/>
    </xf>
    <xf numFmtId="0" fontId="4" fillId="0" borderId="8" xfId="5" applyFont="1" applyFill="1" applyBorder="1" applyAlignment="1">
      <alignment horizontal="left" vertical="center"/>
    </xf>
    <xf numFmtId="0" fontId="4" fillId="0" borderId="9" xfId="5" applyFont="1" applyFill="1" applyBorder="1" applyAlignment="1">
      <alignment horizontal="left" vertical="center"/>
    </xf>
    <xf numFmtId="0" fontId="4" fillId="0" borderId="36" xfId="5" applyFont="1" applyFill="1" applyBorder="1" applyAlignment="1">
      <alignment horizontal="left" vertical="center"/>
    </xf>
    <xf numFmtId="0" fontId="4" fillId="0" borderId="14" xfId="5" applyFont="1" applyFill="1" applyBorder="1" applyAlignment="1">
      <alignment horizontal="left" vertical="center"/>
    </xf>
    <xf numFmtId="0" fontId="4" fillId="0" borderId="1" xfId="5" applyFont="1" applyFill="1" applyBorder="1" applyAlignment="1">
      <alignment horizontal="left" vertical="center"/>
    </xf>
    <xf numFmtId="0" fontId="4" fillId="0" borderId="10" xfId="5" applyFont="1" applyFill="1" applyBorder="1" applyAlignment="1">
      <alignment horizontal="left" vertical="center"/>
    </xf>
    <xf numFmtId="0" fontId="4" fillId="0" borderId="11" xfId="5" applyFont="1" applyFill="1" applyBorder="1" applyAlignment="1">
      <alignment horizontal="left" vertical="center"/>
    </xf>
    <xf numFmtId="0" fontId="4" fillId="0" borderId="40" xfId="5" applyFont="1" applyFill="1" applyBorder="1" applyAlignment="1">
      <alignment horizontal="left" vertical="center"/>
    </xf>
    <xf numFmtId="0" fontId="35" fillId="0" borderId="0" xfId="5" applyFont="1" applyFill="1" applyBorder="1" applyAlignment="1">
      <alignment horizontal="center" vertical="center"/>
    </xf>
    <xf numFmtId="0" fontId="31" fillId="0" borderId="0" xfId="5" applyFont="1" applyFill="1" applyAlignment="1">
      <alignment horizontal="left"/>
    </xf>
    <xf numFmtId="2" fontId="36" fillId="0" borderId="0" xfId="5" applyNumberFormat="1" applyFont="1" applyFill="1" applyAlignment="1">
      <alignment horizontal="center" vertical="center" shrinkToFit="1"/>
    </xf>
    <xf numFmtId="0" fontId="4" fillId="0" borderId="0" xfId="5" applyFont="1" applyFill="1" applyAlignment="1">
      <alignment horizontal="center" vertical="center" shrinkToFit="1"/>
    </xf>
    <xf numFmtId="14" fontId="31" fillId="0" borderId="0" xfId="5" applyNumberFormat="1" applyFont="1" applyFill="1" applyAlignment="1">
      <alignment horizontal="left"/>
    </xf>
    <xf numFmtId="0" fontId="30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164" fontId="30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164" fontId="33" fillId="0" borderId="0" xfId="0" applyNumberFormat="1" applyFont="1" applyFill="1" applyAlignment="1">
      <alignment horizontal="left" vertical="center"/>
    </xf>
    <xf numFmtId="164" fontId="34" fillId="0" borderId="0" xfId="0" applyNumberFormat="1" applyFont="1" applyFill="1" applyAlignment="1">
      <alignment horizontal="left" vertical="center"/>
    </xf>
    <xf numFmtId="2" fontId="30" fillId="0" borderId="0" xfId="0" applyNumberFormat="1" applyFont="1" applyFill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0" fontId="8" fillId="0" borderId="12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14" xfId="5" applyFont="1" applyFill="1" applyBorder="1" applyAlignment="1">
      <alignment horizontal="center" vertical="center" wrapText="1"/>
    </xf>
    <xf numFmtId="0" fontId="7" fillId="0" borderId="12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 textRotation="90" wrapText="1"/>
    </xf>
    <xf numFmtId="0" fontId="7" fillId="0" borderId="14" xfId="5" applyFont="1" applyFill="1" applyBorder="1" applyAlignment="1">
      <alignment horizontal="center" vertical="center" textRotation="90" wrapText="1"/>
    </xf>
    <xf numFmtId="0" fontId="3" fillId="0" borderId="13" xfId="5" applyFont="1" applyFill="1" applyBorder="1" applyAlignment="1">
      <alignment horizontal="center" vertical="center" textRotation="90" wrapText="1"/>
    </xf>
    <xf numFmtId="0" fontId="3" fillId="0" borderId="14" xfId="5" applyFont="1" applyFill="1" applyBorder="1" applyAlignment="1">
      <alignment horizontal="center" vertical="center" textRotation="90" wrapText="1"/>
    </xf>
    <xf numFmtId="0" fontId="3" fillId="0" borderId="13" xfId="5" applyFont="1" applyFill="1" applyBorder="1" applyAlignment="1">
      <alignment horizontal="center" textRotation="90" wrapText="1"/>
    </xf>
    <xf numFmtId="0" fontId="3" fillId="0" borderId="14" xfId="5" applyFont="1" applyFill="1" applyBorder="1" applyAlignment="1">
      <alignment horizontal="center" textRotation="90" wrapText="1"/>
    </xf>
    <xf numFmtId="0" fontId="7" fillId="0" borderId="19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 textRotation="90" wrapText="1"/>
    </xf>
    <xf numFmtId="0" fontId="7" fillId="0" borderId="8" xfId="5" applyFont="1" applyFill="1" applyBorder="1" applyAlignment="1">
      <alignment horizontal="center" vertical="center" textRotation="90" wrapText="1"/>
    </xf>
    <xf numFmtId="0" fontId="7" fillId="0" borderId="0" xfId="5" applyFont="1" applyFill="1" applyBorder="1" applyAlignment="1">
      <alignment horizontal="center" vertical="center" textRotation="90" wrapText="1"/>
    </xf>
    <xf numFmtId="0" fontId="7" fillId="0" borderId="10" xfId="5" applyFont="1" applyFill="1" applyBorder="1" applyAlignment="1">
      <alignment horizontal="center" vertical="center" textRotation="90" wrapText="1"/>
    </xf>
    <xf numFmtId="0" fontId="7" fillId="0" borderId="1" xfId="5" applyFont="1" applyFill="1" applyBorder="1" applyAlignment="1">
      <alignment horizontal="center" vertical="center" textRotation="90" wrapText="1"/>
    </xf>
    <xf numFmtId="0" fontId="7" fillId="0" borderId="24" xfId="5" applyFont="1" applyFill="1" applyBorder="1" applyAlignment="1">
      <alignment horizontal="center" vertical="center" textRotation="90" wrapText="1"/>
    </xf>
    <xf numFmtId="0" fontId="7" fillId="0" borderId="9" xfId="5" applyFont="1" applyFill="1" applyBorder="1" applyAlignment="1">
      <alignment horizontal="center" vertical="center" textRotation="90" wrapText="1"/>
    </xf>
    <xf numFmtId="0" fontId="7" fillId="0" borderId="11" xfId="5" applyFont="1" applyFill="1" applyBorder="1" applyAlignment="1">
      <alignment horizontal="center" vertical="center" textRotation="90" wrapText="1"/>
    </xf>
    <xf numFmtId="0" fontId="37" fillId="0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textRotation="90" wrapText="1"/>
    </xf>
    <xf numFmtId="0" fontId="7" fillId="0" borderId="10" xfId="5" applyFont="1" applyFill="1" applyBorder="1" applyAlignment="1">
      <alignment horizontal="center" textRotation="90" wrapText="1"/>
    </xf>
    <xf numFmtId="0" fontId="3" fillId="0" borderId="13" xfId="0" applyFont="1" applyFill="1" applyBorder="1" applyAlignment="1">
      <alignment horizontal="left" vertical="top" wrapText="1"/>
    </xf>
    <xf numFmtId="49" fontId="8" fillId="0" borderId="12" xfId="2" applyNumberFormat="1" applyFont="1" applyFill="1" applyBorder="1" applyAlignment="1">
      <alignment horizontal="left" vertical="top" wrapText="1"/>
    </xf>
    <xf numFmtId="49" fontId="8" fillId="0" borderId="13" xfId="2" applyNumberFormat="1" applyFont="1" applyFill="1" applyBorder="1" applyAlignment="1">
      <alignment horizontal="left" vertical="top" wrapText="1"/>
    </xf>
    <xf numFmtId="2" fontId="8" fillId="0" borderId="12" xfId="2" applyNumberFormat="1" applyFont="1" applyFill="1" applyBorder="1" applyAlignment="1">
      <alignment horizontal="center" vertical="center" shrinkToFit="1"/>
    </xf>
    <xf numFmtId="2" fontId="8" fillId="0" borderId="13" xfId="2" applyNumberFormat="1" applyFont="1" applyFill="1" applyBorder="1" applyAlignment="1">
      <alignment horizontal="center" vertical="center" shrinkToFit="1"/>
    </xf>
    <xf numFmtId="2" fontId="8" fillId="0" borderId="37" xfId="2" applyNumberFormat="1" applyFont="1" applyFill="1" applyBorder="1" applyAlignment="1">
      <alignment horizontal="center" vertical="center" shrinkToFit="1"/>
    </xf>
    <xf numFmtId="2" fontId="8" fillId="0" borderId="17" xfId="2" applyNumberFormat="1" applyFont="1" applyFill="1" applyBorder="1" applyAlignment="1">
      <alignment horizontal="center" vertical="center" shrinkToFit="1"/>
    </xf>
    <xf numFmtId="2" fontId="3" fillId="0" borderId="0" xfId="5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0" fontId="5" fillId="0" borderId="18" xfId="5" applyNumberFormat="1" applyFont="1" applyFill="1" applyBorder="1" applyAlignment="1">
      <alignment vertical="center" shrinkToFit="1"/>
    </xf>
    <xf numFmtId="9" fontId="5" fillId="0" borderId="18" xfId="5" applyNumberFormat="1" applyFont="1" applyFill="1" applyBorder="1" applyAlignment="1">
      <alignment vertical="center" shrinkToFit="1"/>
    </xf>
  </cellXfs>
  <cellStyles count="69">
    <cellStyle name="20% - Акцент1" xfId="7"/>
    <cellStyle name="20% - Акцент2" xfId="8"/>
    <cellStyle name="20% - Акцент3" xfId="9"/>
    <cellStyle name="20% - Акцент4" xfId="10"/>
    <cellStyle name="20% - Акцент5" xfId="11"/>
    <cellStyle name="20% - Акцент6" xfId="12"/>
    <cellStyle name="40% - Акцент1" xfId="13"/>
    <cellStyle name="40% - Акцент2" xfId="14"/>
    <cellStyle name="40% - Акцент3" xfId="15"/>
    <cellStyle name="40% - Акцент4" xfId="16"/>
    <cellStyle name="40% - Акцент5" xfId="17"/>
    <cellStyle name="40% - Акцент6" xfId="18"/>
    <cellStyle name="60% - Акцент1" xfId="19"/>
    <cellStyle name="60% - Акцент2" xfId="20"/>
    <cellStyle name="60% - Акцент3" xfId="21"/>
    <cellStyle name="60% - Акцент4" xfId="22"/>
    <cellStyle name="60% - Акцент5" xfId="23"/>
    <cellStyle name="60% - Акцент6" xfId="24"/>
    <cellStyle name="Comma 2" xfId="25"/>
    <cellStyle name="Normal" xfId="0" builtinId="0"/>
    <cellStyle name="Normal 10" xfId="26"/>
    <cellStyle name="Normal 2" xfId="1"/>
    <cellStyle name="Normal 2 2" xfId="2"/>
    <cellStyle name="Normal 2 2 2" xfId="6"/>
    <cellStyle name="Normal 2 2 3" xfId="5"/>
    <cellStyle name="Normal 2 2_ALL 2011 tiv" xfId="27"/>
    <cellStyle name="Normal 2 3" xfId="28"/>
    <cellStyle name="Normal 2 4" xfId="29"/>
    <cellStyle name="Normal 2_1.Копия SMETA BANADZEV-26.08.2015 (1) (1)" xfId="30"/>
    <cellStyle name="Normal 3" xfId="3"/>
    <cellStyle name="Normal 3 2" xfId="31"/>
    <cellStyle name="Normal 3 2 2" xfId="32"/>
    <cellStyle name="Normal 3 3" xfId="33"/>
    <cellStyle name="Normal 3_1.Копия SMETA BANADZEV-26.08.2015 (1) (1)" xfId="34"/>
    <cellStyle name="Normal 4" xfId="35"/>
    <cellStyle name="Normal 5" xfId="36"/>
    <cellStyle name="Normal 6" xfId="37"/>
    <cellStyle name="Normal 7" xfId="38"/>
    <cellStyle name="Normal 7 2" xfId="39"/>
    <cellStyle name="Normal 8" xfId="40"/>
    <cellStyle name="Normal 9" xfId="41"/>
    <cellStyle name="Normal_Artchut-2_plotina 2 2" xfId="4"/>
    <cellStyle name="Percent 2" xfId="42"/>
    <cellStyle name="Акцент1" xfId="43"/>
    <cellStyle name="Акцент2" xfId="44"/>
    <cellStyle name="Акцент3" xfId="45"/>
    <cellStyle name="Акцент4" xfId="46"/>
    <cellStyle name="Акцент5" xfId="47"/>
    <cellStyle name="Акцент6" xfId="48"/>
    <cellStyle name="Ввод " xfId="49"/>
    <cellStyle name="Вывод" xfId="50"/>
    <cellStyle name="Вычисление" xfId="51"/>
    <cellStyle name="Заголовок 1" xfId="52"/>
    <cellStyle name="Заголовок 2" xfId="53"/>
    <cellStyle name="Заголовок 3" xfId="54"/>
    <cellStyle name="Заголовок 4" xfId="55"/>
    <cellStyle name="Итог" xfId="56"/>
    <cellStyle name="Контрольная ячейка" xfId="57"/>
    <cellStyle name="Название" xfId="58"/>
    <cellStyle name="Нейтральный" xfId="59"/>
    <cellStyle name="Обычный 2" xfId="60"/>
    <cellStyle name="Обычный 2 2" xfId="61"/>
    <cellStyle name="Обычный 3" xfId="62"/>
    <cellStyle name="Плохой" xfId="63"/>
    <cellStyle name="Пояснение" xfId="64"/>
    <cellStyle name="Примечание" xfId="65"/>
    <cellStyle name="Связанная ячейка" xfId="66"/>
    <cellStyle name="Текст предупреждения" xfId="67"/>
    <cellStyle name="Хороший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67"/>
  <sheetViews>
    <sheetView showZeros="0" tabSelected="1" topLeftCell="A5" zoomScaleSheetLayoutView="100" workbookViewId="0">
      <selection activeCell="V251" sqref="V251:V256"/>
    </sheetView>
  </sheetViews>
  <sheetFormatPr defaultRowHeight="12.75"/>
  <cols>
    <col min="1" max="1" width="3.85546875" style="305" customWidth="1"/>
    <col min="2" max="2" width="11" style="149" customWidth="1"/>
    <col min="3" max="3" width="45" style="306" customWidth="1"/>
    <col min="4" max="4" width="6.7109375" style="141" customWidth="1"/>
    <col min="5" max="5" width="6.5703125" style="175" customWidth="1"/>
    <col min="6" max="6" width="0.7109375" style="142" hidden="1" customWidth="1"/>
    <col min="7" max="7" width="5.85546875" style="150" hidden="1" customWidth="1"/>
    <col min="8" max="9" width="0.7109375" style="142" hidden="1" customWidth="1"/>
    <col min="10" max="10" width="5.85546875" style="150" hidden="1" customWidth="1"/>
    <col min="11" max="11" width="0.7109375" style="142" hidden="1" customWidth="1"/>
    <col min="12" max="12" width="21" style="172" hidden="1" customWidth="1"/>
    <col min="13" max="13" width="6.5703125" style="173" hidden="1" customWidth="1"/>
    <col min="14" max="14" width="6.5703125" style="174" hidden="1" customWidth="1"/>
    <col min="15" max="15" width="6.5703125" style="175" hidden="1" customWidth="1"/>
    <col min="16" max="16" width="6.5703125" style="142" hidden="1" customWidth="1"/>
    <col min="17" max="17" width="6.5703125" style="150" hidden="1" customWidth="1"/>
    <col min="18" max="19" width="6.5703125" style="175" hidden="1" customWidth="1"/>
    <col min="20" max="20" width="8.5703125" style="307" hidden="1" customWidth="1"/>
    <col min="21" max="21" width="6.140625" style="127" hidden="1" customWidth="1"/>
    <col min="22" max="22" width="6.5703125" style="175" customWidth="1"/>
    <col min="23" max="23" width="8.5703125" style="307" customWidth="1"/>
    <col min="24" max="24" width="9.140625" style="128"/>
    <col min="25" max="16384" width="9.140625" style="127"/>
  </cols>
  <sheetData>
    <row r="1" spans="1:24" s="102" customFormat="1" hidden="1">
      <c r="X1" s="103"/>
    </row>
    <row r="2" spans="1:24" s="102" customFormat="1" hidden="1">
      <c r="X2" s="103"/>
    </row>
    <row r="3" spans="1:24" s="104" customFormat="1" ht="15.75" hidden="1">
      <c r="E3" s="105"/>
      <c r="F3" s="105"/>
      <c r="G3" s="106"/>
      <c r="H3" s="106"/>
      <c r="I3" s="106"/>
      <c r="J3" s="106"/>
      <c r="K3" s="106"/>
      <c r="L3" s="106"/>
      <c r="M3" s="107" t="s">
        <v>150</v>
      </c>
      <c r="N3" s="108"/>
      <c r="O3" s="108"/>
      <c r="X3" s="109"/>
    </row>
    <row r="4" spans="1:24" s="110" customFormat="1" hidden="1">
      <c r="U4" s="111"/>
      <c r="X4" s="112"/>
    </row>
    <row r="5" spans="1:24" s="110" customFormat="1" ht="14.25" customHeight="1">
      <c r="A5" s="373" t="s">
        <v>160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112"/>
    </row>
    <row r="6" spans="1:24" s="110" customFormat="1" ht="12.75" customHeight="1"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415"/>
      <c r="P6" s="415"/>
      <c r="Q6" s="415"/>
      <c r="R6" s="415"/>
      <c r="X6" s="112"/>
    </row>
    <row r="7" spans="1:24" s="110" customFormat="1" ht="36.75" customHeight="1">
      <c r="A7" s="372" t="s">
        <v>113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112"/>
    </row>
    <row r="8" spans="1:24" s="110" customFormat="1" ht="3.75" customHeight="1">
      <c r="X8" s="112"/>
    </row>
    <row r="9" spans="1:24" s="110" customFormat="1" ht="13.5" hidden="1" thickBot="1">
      <c r="C9" s="113"/>
      <c r="D9" s="113"/>
      <c r="E9" s="114"/>
      <c r="R9" s="115"/>
      <c r="X9" s="112"/>
    </row>
    <row r="10" spans="1:24" s="110" customFormat="1" ht="13.5" hidden="1" thickBot="1">
      <c r="A10" s="436" t="s">
        <v>0</v>
      </c>
      <c r="B10" s="436"/>
      <c r="C10" s="110" t="s">
        <v>52</v>
      </c>
      <c r="O10" s="117" t="s">
        <v>3</v>
      </c>
      <c r="P10" s="437" t="e">
        <f>T263</f>
        <v>#REF!</v>
      </c>
      <c r="Q10" s="438"/>
      <c r="R10" s="438"/>
      <c r="S10" s="118" t="s">
        <v>6</v>
      </c>
      <c r="V10" s="118" t="s">
        <v>6</v>
      </c>
      <c r="X10" s="112"/>
    </row>
    <row r="11" spans="1:24" s="110" customFormat="1" ht="16.5" hidden="1" thickBot="1">
      <c r="A11" s="116"/>
      <c r="B11" s="116"/>
      <c r="C11" s="119"/>
      <c r="D11" s="119"/>
      <c r="E11" s="439"/>
      <c r="F11" s="439"/>
      <c r="G11" s="439"/>
      <c r="N11" s="120"/>
      <c r="P11" s="308"/>
      <c r="Q11" s="121"/>
      <c r="R11" s="121"/>
      <c r="T11" s="118"/>
      <c r="V11" s="480"/>
      <c r="W11" s="480"/>
      <c r="X11" s="112"/>
    </row>
    <row r="12" spans="1:24" s="110" customFormat="1" ht="15" hidden="1" thickBot="1">
      <c r="A12" s="93" t="s">
        <v>1</v>
      </c>
      <c r="B12" s="93"/>
      <c r="C12" s="93"/>
      <c r="D12" s="440">
        <v>205880</v>
      </c>
      <c r="E12" s="441"/>
      <c r="F12" s="441"/>
      <c r="G12" s="92" t="s">
        <v>2</v>
      </c>
      <c r="H12" s="7"/>
      <c r="I12" s="7"/>
      <c r="J12" s="92"/>
      <c r="K12" s="92"/>
      <c r="L12" s="92"/>
      <c r="M12" s="10" t="s">
        <v>44</v>
      </c>
      <c r="N12" s="442">
        <f>1.02*1.05*1.0657</f>
        <v>1.1413647000000002</v>
      </c>
      <c r="O12" s="443"/>
      <c r="P12" s="443"/>
      <c r="Q12" s="7"/>
      <c r="R12" s="8"/>
      <c r="S12" s="7"/>
      <c r="T12" s="7"/>
      <c r="V12" s="481"/>
      <c r="W12" s="481"/>
      <c r="X12" s="112"/>
    </row>
    <row r="13" spans="1:24" s="110" customFormat="1" ht="13.5" hidden="1" thickBot="1">
      <c r="A13" s="116"/>
      <c r="B13" s="116"/>
      <c r="C13" s="116"/>
      <c r="D13" s="116"/>
      <c r="E13" s="122"/>
      <c r="F13" s="122"/>
      <c r="G13" s="123"/>
      <c r="J13" s="123"/>
      <c r="K13" s="123"/>
      <c r="L13" s="123"/>
      <c r="N13" s="444">
        <f>1.02*1.0657</f>
        <v>1.0870140000000001</v>
      </c>
      <c r="O13" s="445"/>
      <c r="P13" s="445"/>
      <c r="R13" s="115"/>
      <c r="V13" s="328">
        <v>1.33673</v>
      </c>
      <c r="X13" s="112">
        <v>1.0004542089767401</v>
      </c>
    </row>
    <row r="14" spans="1:24" s="110" customFormat="1" ht="13.5" hidden="1" thickBot="1">
      <c r="A14" s="93" t="s">
        <v>20</v>
      </c>
      <c r="B14" s="86"/>
      <c r="C14" s="86"/>
      <c r="D14" s="86"/>
      <c r="E14" s="86"/>
      <c r="F14" s="93"/>
      <c r="G14" s="9" t="s">
        <v>21</v>
      </c>
      <c r="H14" s="93"/>
      <c r="I14" s="11"/>
      <c r="J14" s="446">
        <v>1901.89</v>
      </c>
      <c r="K14" s="447"/>
      <c r="L14" s="447"/>
      <c r="M14" s="12"/>
      <c r="N14" s="9"/>
      <c r="O14" s="9"/>
      <c r="P14" s="9" t="s">
        <v>22</v>
      </c>
      <c r="Q14" s="446">
        <v>2593.21</v>
      </c>
      <c r="R14" s="447"/>
      <c r="S14" s="447"/>
      <c r="T14" s="124"/>
      <c r="V14" s="328">
        <f>1.015*1.0015</f>
        <v>1.0165225</v>
      </c>
      <c r="W14" s="124"/>
      <c r="X14" s="112"/>
    </row>
    <row r="15" spans="1:24" s="102" customFormat="1" ht="13.5" hidden="1" thickBot="1">
      <c r="R15" s="125"/>
      <c r="X15" s="103"/>
    </row>
    <row r="16" spans="1:24" s="126" customFormat="1" ht="18" customHeight="1">
      <c r="A16" s="448" t="s">
        <v>15</v>
      </c>
      <c r="B16" s="451" t="s">
        <v>4</v>
      </c>
      <c r="C16" s="448" t="s">
        <v>5</v>
      </c>
      <c r="D16" s="408" t="s">
        <v>7</v>
      </c>
      <c r="E16" s="408" t="s">
        <v>8</v>
      </c>
      <c r="F16" s="460" t="s">
        <v>16</v>
      </c>
      <c r="G16" s="461"/>
      <c r="H16" s="461"/>
      <c r="I16" s="460" t="s">
        <v>18</v>
      </c>
      <c r="J16" s="461"/>
      <c r="K16" s="466"/>
      <c r="L16" s="469" t="s">
        <v>10</v>
      </c>
      <c r="M16" s="470"/>
      <c r="N16" s="470"/>
      <c r="O16" s="470"/>
      <c r="P16" s="470"/>
      <c r="Q16" s="470"/>
      <c r="R16" s="460" t="s">
        <v>17</v>
      </c>
      <c r="S16" s="408" t="s">
        <v>11</v>
      </c>
      <c r="T16" s="411" t="s">
        <v>12</v>
      </c>
      <c r="U16" s="329"/>
      <c r="V16" s="408" t="s">
        <v>11</v>
      </c>
      <c r="W16" s="408" t="s">
        <v>12</v>
      </c>
      <c r="X16" s="408" t="s">
        <v>161</v>
      </c>
    </row>
    <row r="17" spans="1:24" s="126" customFormat="1" ht="22.5" customHeight="1">
      <c r="A17" s="449"/>
      <c r="B17" s="452"/>
      <c r="C17" s="449"/>
      <c r="D17" s="454"/>
      <c r="E17" s="454"/>
      <c r="F17" s="462"/>
      <c r="G17" s="463"/>
      <c r="H17" s="463"/>
      <c r="I17" s="462"/>
      <c r="J17" s="463"/>
      <c r="K17" s="467"/>
      <c r="L17" s="414" t="s">
        <v>9</v>
      </c>
      <c r="M17" s="417" t="s">
        <v>7</v>
      </c>
      <c r="N17" s="408" t="s">
        <v>19</v>
      </c>
      <c r="O17" s="408" t="s">
        <v>13</v>
      </c>
      <c r="P17" s="408" t="s">
        <v>14</v>
      </c>
      <c r="Q17" s="408" t="s">
        <v>151</v>
      </c>
      <c r="R17" s="471"/>
      <c r="S17" s="409"/>
      <c r="T17" s="412"/>
      <c r="U17" s="330"/>
      <c r="V17" s="409"/>
      <c r="W17" s="409"/>
      <c r="X17" s="409"/>
    </row>
    <row r="18" spans="1:24" s="126" customFormat="1" ht="22.5" customHeight="1">
      <c r="A18" s="449"/>
      <c r="B18" s="452"/>
      <c r="C18" s="449"/>
      <c r="D18" s="454"/>
      <c r="E18" s="454"/>
      <c r="F18" s="462"/>
      <c r="G18" s="463"/>
      <c r="H18" s="463"/>
      <c r="I18" s="462"/>
      <c r="J18" s="463"/>
      <c r="K18" s="467"/>
      <c r="L18" s="415"/>
      <c r="M18" s="418"/>
      <c r="N18" s="409"/>
      <c r="O18" s="409"/>
      <c r="P18" s="456"/>
      <c r="Q18" s="458"/>
      <c r="R18" s="471"/>
      <c r="S18" s="409"/>
      <c r="T18" s="412"/>
      <c r="U18" s="330"/>
      <c r="V18" s="409"/>
      <c r="W18" s="409"/>
      <c r="X18" s="409"/>
    </row>
    <row r="19" spans="1:24" s="126" customFormat="1" ht="22.5" customHeight="1">
      <c r="A19" s="449"/>
      <c r="B19" s="452"/>
      <c r="C19" s="449"/>
      <c r="D19" s="454"/>
      <c r="E19" s="454"/>
      <c r="F19" s="462"/>
      <c r="G19" s="463"/>
      <c r="H19" s="463"/>
      <c r="I19" s="462"/>
      <c r="J19" s="463"/>
      <c r="K19" s="467"/>
      <c r="L19" s="415"/>
      <c r="M19" s="418"/>
      <c r="N19" s="409"/>
      <c r="O19" s="409"/>
      <c r="P19" s="456"/>
      <c r="Q19" s="458"/>
      <c r="R19" s="471"/>
      <c r="S19" s="409"/>
      <c r="T19" s="412"/>
      <c r="U19" s="330"/>
      <c r="V19" s="409"/>
      <c r="W19" s="409"/>
      <c r="X19" s="409"/>
    </row>
    <row r="20" spans="1:24" s="126" customFormat="1" ht="22.5" customHeight="1" thickBot="1">
      <c r="A20" s="450"/>
      <c r="B20" s="453"/>
      <c r="C20" s="450"/>
      <c r="D20" s="455"/>
      <c r="E20" s="455"/>
      <c r="F20" s="464"/>
      <c r="G20" s="465"/>
      <c r="H20" s="465"/>
      <c r="I20" s="464"/>
      <c r="J20" s="465"/>
      <c r="K20" s="468"/>
      <c r="L20" s="416"/>
      <c r="M20" s="418"/>
      <c r="N20" s="410"/>
      <c r="O20" s="410"/>
      <c r="P20" s="457"/>
      <c r="Q20" s="459"/>
      <c r="R20" s="472"/>
      <c r="S20" s="410"/>
      <c r="T20" s="413"/>
      <c r="U20" s="330"/>
      <c r="V20" s="410"/>
      <c r="W20" s="410"/>
      <c r="X20" s="410"/>
    </row>
    <row r="21" spans="1:24" ht="12.75" customHeight="1" thickTop="1">
      <c r="A21" s="419" t="s">
        <v>94</v>
      </c>
      <c r="B21" s="420"/>
      <c r="C21" s="421"/>
      <c r="D21" s="420"/>
      <c r="E21" s="421"/>
      <c r="F21" s="420"/>
      <c r="G21" s="420"/>
      <c r="H21" s="420"/>
      <c r="I21" s="422"/>
      <c r="J21" s="420"/>
      <c r="K21" s="423"/>
      <c r="L21" s="420"/>
      <c r="M21" s="420"/>
      <c r="N21" s="420"/>
      <c r="O21" s="420"/>
      <c r="P21" s="420"/>
      <c r="Q21" s="420"/>
      <c r="R21" s="420"/>
      <c r="S21" s="420"/>
      <c r="T21" s="424"/>
      <c r="U21" s="149"/>
      <c r="V21" s="331"/>
      <c r="W21" s="332"/>
      <c r="X21" s="332"/>
    </row>
    <row r="22" spans="1:24" ht="7.5" customHeight="1">
      <c r="A22" s="425"/>
      <c r="B22" s="426"/>
      <c r="C22" s="425"/>
      <c r="D22" s="426"/>
      <c r="E22" s="425"/>
      <c r="F22" s="426"/>
      <c r="G22" s="426"/>
      <c r="H22" s="426"/>
      <c r="I22" s="427"/>
      <c r="J22" s="426"/>
      <c r="K22" s="428"/>
      <c r="L22" s="426"/>
      <c r="M22" s="426"/>
      <c r="N22" s="426"/>
      <c r="O22" s="426"/>
      <c r="P22" s="426"/>
      <c r="Q22" s="426"/>
      <c r="R22" s="426"/>
      <c r="S22" s="426"/>
      <c r="T22" s="429"/>
      <c r="U22" s="149"/>
      <c r="V22" s="331"/>
      <c r="W22" s="332"/>
      <c r="X22" s="332"/>
    </row>
    <row r="23" spans="1:24" ht="12.75" customHeight="1">
      <c r="A23" s="430"/>
      <c r="B23" s="431"/>
      <c r="C23" s="430"/>
      <c r="D23" s="431"/>
      <c r="E23" s="430"/>
      <c r="F23" s="431"/>
      <c r="G23" s="431"/>
      <c r="H23" s="431"/>
      <c r="I23" s="432"/>
      <c r="J23" s="431"/>
      <c r="K23" s="433"/>
      <c r="L23" s="431"/>
      <c r="M23" s="431"/>
      <c r="N23" s="431"/>
      <c r="O23" s="431"/>
      <c r="P23" s="431"/>
      <c r="Q23" s="431"/>
      <c r="R23" s="431"/>
      <c r="S23" s="431"/>
      <c r="T23" s="434"/>
      <c r="U23" s="149"/>
      <c r="V23" s="331"/>
      <c r="W23" s="332"/>
      <c r="X23" s="332"/>
    </row>
    <row r="24" spans="1:24" s="45" customFormat="1" ht="12.75" customHeight="1">
      <c r="A24" s="333">
        <v>1</v>
      </c>
      <c r="B24" s="403" t="s">
        <v>68</v>
      </c>
      <c r="C24" s="380" t="s">
        <v>96</v>
      </c>
      <c r="D24" s="129" t="s">
        <v>69</v>
      </c>
      <c r="E24" s="140">
        <v>360</v>
      </c>
      <c r="F24" s="130"/>
      <c r="G24" s="131">
        <v>0</v>
      </c>
      <c r="H24" s="130"/>
      <c r="I24" s="132"/>
      <c r="J24" s="131">
        <v>0</v>
      </c>
      <c r="K24" s="133"/>
      <c r="L24" s="134"/>
      <c r="M24" s="135"/>
      <c r="N24" s="136"/>
      <c r="O24" s="137"/>
      <c r="P24" s="130"/>
      <c r="Q24" s="138"/>
      <c r="R24" s="139">
        <f>G25+J25</f>
        <v>0</v>
      </c>
      <c r="S24" s="378">
        <f>R24+R25</f>
        <v>4.6579093407000016</v>
      </c>
      <c r="T24" s="382">
        <f>E24*S24</f>
        <v>1676.8473626520006</v>
      </c>
      <c r="U24" s="249"/>
      <c r="V24" s="326"/>
      <c r="W24" s="326"/>
      <c r="X24" s="326">
        <f>F24*W24</f>
        <v>0</v>
      </c>
    </row>
    <row r="25" spans="1:24" s="45" customFormat="1" ht="12.75" customHeight="1">
      <c r="A25" s="334"/>
      <c r="B25" s="404"/>
      <c r="C25" s="381"/>
      <c r="D25" s="141"/>
      <c r="E25" s="148"/>
      <c r="F25" s="142"/>
      <c r="G25" s="131">
        <f>G24*$J$14/1000</f>
        <v>0</v>
      </c>
      <c r="H25" s="142"/>
      <c r="I25" s="143"/>
      <c r="J25" s="131">
        <f>J24*$Q$14/1000</f>
        <v>0</v>
      </c>
      <c r="K25" s="144"/>
      <c r="L25" s="405" t="s">
        <v>70</v>
      </c>
      <c r="M25" s="145" t="s">
        <v>71</v>
      </c>
      <c r="N25" s="146">
        <v>1</v>
      </c>
      <c r="O25" s="146">
        <f>E24*N25</f>
        <v>360</v>
      </c>
      <c r="P25" s="309">
        <v>4.0810000000000004</v>
      </c>
      <c r="Q25" s="147">
        <f>N25*P25*$N$12</f>
        <v>4.6579093407000016</v>
      </c>
      <c r="R25" s="148">
        <f>SUM(Q25:Q25)</f>
        <v>4.6579093407000016</v>
      </c>
      <c r="S25" s="379"/>
      <c r="T25" s="383"/>
      <c r="U25" s="249"/>
      <c r="V25" s="327"/>
      <c r="W25" s="327"/>
      <c r="X25" s="327"/>
    </row>
    <row r="26" spans="1:24" s="45" customFormat="1" ht="32.25" hidden="1" customHeight="1">
      <c r="A26" s="334"/>
      <c r="B26" s="149"/>
      <c r="C26" s="381"/>
      <c r="D26" s="141"/>
      <c r="E26" s="148"/>
      <c r="F26" s="142"/>
      <c r="G26" s="150"/>
      <c r="H26" s="142"/>
      <c r="I26" s="143"/>
      <c r="J26" s="150"/>
      <c r="K26" s="144"/>
      <c r="L26" s="407"/>
      <c r="M26" s="151"/>
      <c r="N26" s="152"/>
      <c r="O26" s="153"/>
      <c r="P26" s="310"/>
      <c r="Q26" s="154"/>
      <c r="R26" s="148"/>
      <c r="S26" s="148"/>
      <c r="T26" s="155"/>
      <c r="U26" s="249"/>
      <c r="V26" s="148"/>
      <c r="W26" s="327"/>
      <c r="X26" s="327"/>
    </row>
    <row r="27" spans="1:24" s="45" customFormat="1" ht="11.25" customHeight="1">
      <c r="A27" s="335"/>
      <c r="B27" s="156"/>
      <c r="C27" s="157"/>
      <c r="D27" s="158"/>
      <c r="E27" s="159"/>
      <c r="F27" s="160"/>
      <c r="G27" s="161"/>
      <c r="H27" s="160"/>
      <c r="I27" s="162"/>
      <c r="J27" s="161"/>
      <c r="K27" s="163"/>
      <c r="L27" s="164"/>
      <c r="M27" s="165"/>
      <c r="N27" s="166"/>
      <c r="O27" s="167"/>
      <c r="P27" s="160"/>
      <c r="Q27" s="168"/>
      <c r="R27" s="159"/>
      <c r="S27" s="159"/>
      <c r="T27" s="169"/>
      <c r="U27" s="249"/>
      <c r="V27" s="159"/>
      <c r="W27" s="336"/>
      <c r="X27" s="336"/>
    </row>
    <row r="28" spans="1:24" ht="12.75" customHeight="1">
      <c r="A28" s="337">
        <f>A24+1</f>
        <v>2</v>
      </c>
      <c r="B28" s="170" t="s">
        <v>66</v>
      </c>
      <c r="C28" s="381" t="s">
        <v>97</v>
      </c>
      <c r="D28" s="141" t="s">
        <v>67</v>
      </c>
      <c r="E28" s="148">
        <v>141.16999999999999</v>
      </c>
      <c r="G28" s="150">
        <v>0.25</v>
      </c>
      <c r="I28" s="143"/>
      <c r="J28" s="150">
        <v>0.06</v>
      </c>
      <c r="K28" s="144"/>
      <c r="L28" s="164"/>
      <c r="M28" s="165"/>
      <c r="N28" s="166"/>
      <c r="O28" s="167"/>
      <c r="P28" s="160"/>
      <c r="Q28" s="168"/>
      <c r="R28" s="159">
        <f>G29+J29</f>
        <v>0.63106510000000005</v>
      </c>
      <c r="S28" s="148">
        <f>R28+R29</f>
        <v>0.63106510000000005</v>
      </c>
      <c r="T28" s="171">
        <f>E28*S28</f>
        <v>89.087460167000003</v>
      </c>
      <c r="U28" s="149"/>
      <c r="V28" s="326"/>
      <c r="W28" s="326"/>
      <c r="X28" s="326">
        <f t="shared" ref="W28:X91" si="0">F28*W28</f>
        <v>0</v>
      </c>
    </row>
    <row r="29" spans="1:24" ht="10.5" customHeight="1">
      <c r="A29" s="334"/>
      <c r="B29" s="170" t="s">
        <v>63</v>
      </c>
      <c r="C29" s="381"/>
      <c r="E29" s="148"/>
      <c r="G29" s="131">
        <f>G28*$J$14/1000</f>
        <v>0.47547250000000002</v>
      </c>
      <c r="I29" s="143"/>
      <c r="J29" s="131">
        <f>J28*$Q$14/1000</f>
        <v>0.1555926</v>
      </c>
      <c r="K29" s="144"/>
      <c r="Q29" s="176"/>
      <c r="R29" s="148"/>
      <c r="S29" s="148"/>
      <c r="T29" s="155"/>
      <c r="U29" s="149"/>
      <c r="V29" s="326"/>
      <c r="W29" s="326"/>
      <c r="X29" s="326">
        <f t="shared" si="0"/>
        <v>0</v>
      </c>
    </row>
    <row r="30" spans="1:24" ht="12.75" hidden="1" customHeight="1">
      <c r="A30" s="334"/>
      <c r="C30" s="381"/>
      <c r="E30" s="148"/>
      <c r="I30" s="143"/>
      <c r="K30" s="144"/>
      <c r="Q30" s="176"/>
      <c r="R30" s="148"/>
      <c r="S30" s="148"/>
      <c r="T30" s="155"/>
      <c r="U30" s="149"/>
      <c r="V30" s="326"/>
      <c r="W30" s="326"/>
      <c r="X30" s="326">
        <f t="shared" si="0"/>
        <v>0</v>
      </c>
    </row>
    <row r="31" spans="1:24" ht="15.75" customHeight="1">
      <c r="A31" s="335"/>
      <c r="B31" s="156"/>
      <c r="C31" s="157"/>
      <c r="D31" s="158"/>
      <c r="E31" s="159"/>
      <c r="F31" s="160"/>
      <c r="G31" s="161"/>
      <c r="H31" s="160"/>
      <c r="I31" s="162"/>
      <c r="J31" s="161"/>
      <c r="K31" s="163"/>
      <c r="Q31" s="176"/>
      <c r="R31" s="148"/>
      <c r="S31" s="148"/>
      <c r="T31" s="155"/>
      <c r="U31" s="149"/>
      <c r="V31" s="326"/>
      <c r="W31" s="326"/>
      <c r="X31" s="326">
        <f t="shared" si="0"/>
        <v>0</v>
      </c>
    </row>
    <row r="32" spans="1:24" s="45" customFormat="1" ht="12.75" customHeight="1">
      <c r="A32" s="337">
        <f>A28+1</f>
        <v>3</v>
      </c>
      <c r="B32" s="91" t="s">
        <v>27</v>
      </c>
      <c r="C32" s="381" t="s">
        <v>80</v>
      </c>
      <c r="D32" s="23" t="s">
        <v>36</v>
      </c>
      <c r="E32" s="100">
        <v>39</v>
      </c>
      <c r="F32" s="6"/>
      <c r="G32" s="2">
        <v>0</v>
      </c>
      <c r="H32" s="6"/>
      <c r="I32" s="24"/>
      <c r="J32" s="2">
        <v>0</v>
      </c>
      <c r="K32" s="25"/>
      <c r="L32" s="39"/>
      <c r="M32" s="40"/>
      <c r="N32" s="41"/>
      <c r="O32" s="41"/>
      <c r="P32" s="14"/>
      <c r="Q32" s="43"/>
      <c r="R32" s="22">
        <f>G33+J33</f>
        <v>0</v>
      </c>
      <c r="S32" s="387">
        <f>R32+R33</f>
        <v>2.0088018720000003</v>
      </c>
      <c r="T32" s="389">
        <f>E32*S32</f>
        <v>78.343273008000011</v>
      </c>
      <c r="U32" s="249"/>
      <c r="V32" s="326"/>
      <c r="W32" s="326"/>
      <c r="X32" s="326">
        <f t="shared" si="0"/>
        <v>0</v>
      </c>
    </row>
    <row r="33" spans="1:24" s="45" customFormat="1" ht="12" customHeight="1">
      <c r="A33" s="338"/>
      <c r="B33" s="249"/>
      <c r="C33" s="381"/>
      <c r="D33" s="23"/>
      <c r="E33" s="100"/>
      <c r="F33" s="6"/>
      <c r="G33" s="15">
        <f>G32*$J$10/1000</f>
        <v>0</v>
      </c>
      <c r="H33" s="6"/>
      <c r="I33" s="24"/>
      <c r="J33" s="15">
        <f>J32*$Q$10/1000</f>
        <v>0</v>
      </c>
      <c r="K33" s="25"/>
      <c r="L33" s="390" t="s">
        <v>72</v>
      </c>
      <c r="M33" s="46" t="s">
        <v>36</v>
      </c>
      <c r="N33" s="47">
        <v>1</v>
      </c>
      <c r="O33" s="84">
        <f>E32*N33</f>
        <v>39</v>
      </c>
      <c r="P33" s="311">
        <v>1.76</v>
      </c>
      <c r="Q33" s="147">
        <f>N33*P33*$N$12</f>
        <v>2.0088018720000003</v>
      </c>
      <c r="R33" s="100">
        <f>SUM(Q33:Q33)</f>
        <v>2.0088018720000003</v>
      </c>
      <c r="S33" s="385"/>
      <c r="T33" s="386"/>
      <c r="U33" s="249"/>
      <c r="V33" s="326"/>
      <c r="W33" s="326"/>
      <c r="X33" s="326">
        <f t="shared" si="0"/>
        <v>0</v>
      </c>
    </row>
    <row r="34" spans="1:24" s="45" customFormat="1" ht="12.75" hidden="1" customHeight="1">
      <c r="A34" s="338"/>
      <c r="B34" s="249"/>
      <c r="C34" s="381"/>
      <c r="D34" s="23"/>
      <c r="E34" s="100"/>
      <c r="F34" s="6"/>
      <c r="G34" s="2"/>
      <c r="H34" s="6"/>
      <c r="I34" s="24"/>
      <c r="J34" s="2"/>
      <c r="K34" s="25"/>
      <c r="L34" s="402"/>
      <c r="M34" s="178"/>
      <c r="N34" s="179"/>
      <c r="O34" s="179"/>
      <c r="P34" s="312"/>
      <c r="Q34" s="180"/>
      <c r="R34" s="100"/>
      <c r="S34" s="100"/>
      <c r="T34" s="27"/>
      <c r="U34" s="249"/>
      <c r="V34" s="326"/>
      <c r="W34" s="326"/>
      <c r="X34" s="326">
        <f t="shared" si="0"/>
        <v>0</v>
      </c>
    </row>
    <row r="35" spans="1:24" s="45" customFormat="1" ht="12.75" customHeight="1">
      <c r="A35" s="339"/>
      <c r="B35" s="28"/>
      <c r="C35" s="29"/>
      <c r="D35" s="30"/>
      <c r="E35" s="88"/>
      <c r="F35" s="31"/>
      <c r="G35" s="32"/>
      <c r="H35" s="31"/>
      <c r="I35" s="33"/>
      <c r="J35" s="32"/>
      <c r="K35" s="34"/>
      <c r="L35" s="3"/>
      <c r="M35" s="1"/>
      <c r="N35" s="4"/>
      <c r="O35" s="4"/>
      <c r="P35" s="6"/>
      <c r="Q35" s="26"/>
      <c r="R35" s="100"/>
      <c r="S35" s="100"/>
      <c r="T35" s="27"/>
      <c r="U35" s="249"/>
      <c r="V35" s="326"/>
      <c r="W35" s="326"/>
      <c r="X35" s="326">
        <f t="shared" si="0"/>
        <v>0</v>
      </c>
    </row>
    <row r="36" spans="1:24" s="45" customFormat="1" ht="12.75" customHeight="1">
      <c r="A36" s="337">
        <f>A32+1</f>
        <v>4</v>
      </c>
      <c r="B36" s="170" t="s">
        <v>54</v>
      </c>
      <c r="C36" s="381" t="s">
        <v>79</v>
      </c>
      <c r="D36" s="141" t="s">
        <v>29</v>
      </c>
      <c r="E36" s="148">
        <v>39</v>
      </c>
      <c r="F36" s="142"/>
      <c r="G36" s="150">
        <v>0.97</v>
      </c>
      <c r="H36" s="142"/>
      <c r="I36" s="143"/>
      <c r="J36" s="150">
        <v>0.13</v>
      </c>
      <c r="K36" s="144"/>
      <c r="L36" s="134"/>
      <c r="M36" s="135"/>
      <c r="N36" s="136"/>
      <c r="O36" s="137"/>
      <c r="P36" s="130"/>
      <c r="Q36" s="138"/>
      <c r="R36" s="139">
        <f>G37+J37</f>
        <v>2.1819506</v>
      </c>
      <c r="S36" s="378">
        <f>R36+R37</f>
        <v>2.9809058899999998</v>
      </c>
      <c r="T36" s="382">
        <f>E36*S36</f>
        <v>116.25532971</v>
      </c>
      <c r="U36" s="249"/>
      <c r="V36" s="326"/>
      <c r="W36" s="326"/>
      <c r="X36" s="326">
        <f t="shared" si="0"/>
        <v>0</v>
      </c>
    </row>
    <row r="37" spans="1:24" s="45" customFormat="1" ht="9.75" customHeight="1">
      <c r="A37" s="334"/>
      <c r="B37" s="170" t="s">
        <v>55</v>
      </c>
      <c r="C37" s="381"/>
      <c r="D37" s="141"/>
      <c r="E37" s="148"/>
      <c r="F37" s="142"/>
      <c r="G37" s="131">
        <f>G36*$J$14/1000</f>
        <v>1.8448332999999999</v>
      </c>
      <c r="H37" s="142"/>
      <c r="I37" s="143"/>
      <c r="J37" s="131">
        <f>J36*$Q$14/1000</f>
        <v>0.33711730000000001</v>
      </c>
      <c r="K37" s="144"/>
      <c r="L37" s="181" t="s">
        <v>74</v>
      </c>
      <c r="M37" s="182" t="s">
        <v>29</v>
      </c>
      <c r="N37" s="183">
        <v>1</v>
      </c>
      <c r="O37" s="183">
        <f>E36*N37</f>
        <v>39</v>
      </c>
      <c r="P37" s="313">
        <v>0.7</v>
      </c>
      <c r="Q37" s="184">
        <f>N37*P37*$N$12</f>
        <v>0.7989552900000001</v>
      </c>
      <c r="R37" s="148">
        <f>SUM(Q37:Q37)</f>
        <v>0.7989552900000001</v>
      </c>
      <c r="S37" s="379"/>
      <c r="T37" s="383"/>
      <c r="U37" s="249"/>
      <c r="V37" s="326"/>
      <c r="W37" s="326"/>
      <c r="X37" s="326">
        <f t="shared" si="0"/>
        <v>0</v>
      </c>
    </row>
    <row r="38" spans="1:24" s="45" customFormat="1" ht="5.25" hidden="1" customHeight="1">
      <c r="A38" s="334"/>
      <c r="B38" s="149"/>
      <c r="C38" s="381"/>
      <c r="D38" s="141"/>
      <c r="E38" s="148"/>
      <c r="F38" s="142"/>
      <c r="G38" s="150"/>
      <c r="H38" s="142"/>
      <c r="I38" s="143"/>
      <c r="J38" s="150"/>
      <c r="K38" s="144"/>
      <c r="L38" s="172"/>
      <c r="M38" s="173"/>
      <c r="N38" s="174"/>
      <c r="O38" s="175"/>
      <c r="P38" s="142"/>
      <c r="Q38" s="176"/>
      <c r="R38" s="148"/>
      <c r="S38" s="148"/>
      <c r="T38" s="155"/>
      <c r="U38" s="249"/>
      <c r="V38" s="326"/>
      <c r="W38" s="326"/>
      <c r="X38" s="326">
        <f t="shared" si="0"/>
        <v>0</v>
      </c>
    </row>
    <row r="39" spans="1:24" s="45" customFormat="1" ht="12.75" customHeight="1">
      <c r="A39" s="335"/>
      <c r="B39" s="156"/>
      <c r="C39" s="157"/>
      <c r="D39" s="158"/>
      <c r="E39" s="159"/>
      <c r="F39" s="160"/>
      <c r="G39" s="161"/>
      <c r="H39" s="160"/>
      <c r="I39" s="162"/>
      <c r="J39" s="161"/>
      <c r="K39" s="163"/>
      <c r="L39" s="172"/>
      <c r="M39" s="173"/>
      <c r="N39" s="174"/>
      <c r="O39" s="175"/>
      <c r="P39" s="142"/>
      <c r="Q39" s="176"/>
      <c r="R39" s="148"/>
      <c r="S39" s="148"/>
      <c r="T39" s="155"/>
      <c r="U39" s="249"/>
      <c r="V39" s="326"/>
      <c r="W39" s="326"/>
      <c r="X39" s="326">
        <f t="shared" si="0"/>
        <v>0</v>
      </c>
    </row>
    <row r="40" spans="1:24" ht="12.75" customHeight="1">
      <c r="A40" s="337">
        <f>A36+1</f>
        <v>5</v>
      </c>
      <c r="B40" s="170" t="s">
        <v>54</v>
      </c>
      <c r="C40" s="381" t="s">
        <v>98</v>
      </c>
      <c r="D40" s="141" t="s">
        <v>29</v>
      </c>
      <c r="E40" s="148">
        <v>39</v>
      </c>
      <c r="G40" s="150">
        <v>0.97</v>
      </c>
      <c r="I40" s="143"/>
      <c r="J40" s="150">
        <v>0.13</v>
      </c>
      <c r="K40" s="144"/>
      <c r="L40" s="134"/>
      <c r="M40" s="135"/>
      <c r="N40" s="136"/>
      <c r="O40" s="137"/>
      <c r="P40" s="130"/>
      <c r="Q40" s="138"/>
      <c r="R40" s="139">
        <f>G41+J41</f>
        <v>2.1819506</v>
      </c>
      <c r="S40" s="378">
        <f>R40+R41</f>
        <v>4.5982196699000006</v>
      </c>
      <c r="T40" s="382">
        <f>E40*S40</f>
        <v>179.33056712610002</v>
      </c>
      <c r="U40" s="149"/>
      <c r="V40" s="326"/>
      <c r="W40" s="326"/>
      <c r="X40" s="326">
        <f t="shared" si="0"/>
        <v>0</v>
      </c>
    </row>
    <row r="41" spans="1:24" ht="12.75" customHeight="1">
      <c r="A41" s="334"/>
      <c r="B41" s="170" t="s">
        <v>55</v>
      </c>
      <c r="C41" s="381"/>
      <c r="E41" s="148"/>
      <c r="G41" s="131">
        <f>G40*$J$14/1000</f>
        <v>1.8448332999999999</v>
      </c>
      <c r="I41" s="143"/>
      <c r="J41" s="131">
        <f>J40*$Q$14/1000</f>
        <v>0.33711730000000001</v>
      </c>
      <c r="K41" s="144"/>
      <c r="L41" s="181" t="s">
        <v>78</v>
      </c>
      <c r="M41" s="182" t="s">
        <v>29</v>
      </c>
      <c r="N41" s="183">
        <v>1</v>
      </c>
      <c r="O41" s="183">
        <f>E40*N41</f>
        <v>39</v>
      </c>
      <c r="P41" s="313">
        <v>2.117</v>
      </c>
      <c r="Q41" s="184">
        <f>N41*P41*$N$12</f>
        <v>2.4162690699000007</v>
      </c>
      <c r="R41" s="148">
        <f>SUM(Q41:Q41)</f>
        <v>2.4162690699000007</v>
      </c>
      <c r="S41" s="379"/>
      <c r="T41" s="383"/>
      <c r="U41" s="149"/>
      <c r="V41" s="326"/>
      <c r="W41" s="326"/>
      <c r="X41" s="326">
        <f t="shared" si="0"/>
        <v>0</v>
      </c>
    </row>
    <row r="42" spans="1:24" ht="12.75" hidden="1" customHeight="1">
      <c r="A42" s="334"/>
      <c r="C42" s="381"/>
      <c r="E42" s="148"/>
      <c r="I42" s="143"/>
      <c r="K42" s="144"/>
      <c r="Q42" s="176"/>
      <c r="R42" s="148"/>
      <c r="S42" s="148"/>
      <c r="T42" s="155"/>
      <c r="U42" s="149"/>
      <c r="V42" s="326"/>
      <c r="W42" s="326"/>
      <c r="X42" s="326">
        <f t="shared" si="0"/>
        <v>0</v>
      </c>
    </row>
    <row r="43" spans="1:24" ht="12.75" customHeight="1">
      <c r="A43" s="335"/>
      <c r="B43" s="156"/>
      <c r="C43" s="157"/>
      <c r="D43" s="158"/>
      <c r="E43" s="159"/>
      <c r="F43" s="160"/>
      <c r="G43" s="161"/>
      <c r="H43" s="160"/>
      <c r="I43" s="162"/>
      <c r="J43" s="161"/>
      <c r="K43" s="163"/>
      <c r="Q43" s="176"/>
      <c r="R43" s="148"/>
      <c r="S43" s="148"/>
      <c r="T43" s="155"/>
      <c r="U43" s="149"/>
      <c r="V43" s="326"/>
      <c r="W43" s="326"/>
      <c r="X43" s="326">
        <f t="shared" si="0"/>
        <v>0</v>
      </c>
    </row>
    <row r="44" spans="1:24" ht="12.75" customHeight="1">
      <c r="A44" s="337">
        <f>A40+1</f>
        <v>6</v>
      </c>
      <c r="B44" s="170" t="s">
        <v>54</v>
      </c>
      <c r="C44" s="381" t="s">
        <v>81</v>
      </c>
      <c r="D44" s="141" t="s">
        <v>29</v>
      </c>
      <c r="E44" s="148">
        <v>39</v>
      </c>
      <c r="G44" s="150">
        <v>0.97</v>
      </c>
      <c r="I44" s="143"/>
      <c r="J44" s="150">
        <v>0.13</v>
      </c>
      <c r="K44" s="144"/>
      <c r="L44" s="134"/>
      <c r="M44" s="135"/>
      <c r="N44" s="136"/>
      <c r="O44" s="137"/>
      <c r="P44" s="130"/>
      <c r="Q44" s="138"/>
      <c r="R44" s="139">
        <f>G45+J45</f>
        <v>2.1819506</v>
      </c>
      <c r="S44" s="378">
        <f>R44+R45</f>
        <v>4.4646800000000004</v>
      </c>
      <c r="T44" s="382">
        <f>E44*S44</f>
        <v>174.12252000000001</v>
      </c>
      <c r="U44" s="149"/>
      <c r="V44" s="326"/>
      <c r="W44" s="326"/>
      <c r="X44" s="326">
        <f t="shared" si="0"/>
        <v>0</v>
      </c>
    </row>
    <row r="45" spans="1:24" ht="12" customHeight="1">
      <c r="A45" s="334"/>
      <c r="B45" s="170" t="s">
        <v>55</v>
      </c>
      <c r="C45" s="381"/>
      <c r="E45" s="148"/>
      <c r="G45" s="131">
        <f>G44*$J$14/1000</f>
        <v>1.8448332999999999</v>
      </c>
      <c r="I45" s="143"/>
      <c r="J45" s="131">
        <f>J44*$Q$14/1000</f>
        <v>0.33711730000000001</v>
      </c>
      <c r="K45" s="144"/>
      <c r="L45" s="181" t="s">
        <v>78</v>
      </c>
      <c r="M45" s="182" t="s">
        <v>29</v>
      </c>
      <c r="N45" s="183">
        <v>1</v>
      </c>
      <c r="O45" s="183">
        <f>E44*N45</f>
        <v>39</v>
      </c>
      <c r="P45" s="313">
        <v>2</v>
      </c>
      <c r="Q45" s="184">
        <f>N45*P45*$N$12</f>
        <v>2.2827294000000005</v>
      </c>
      <c r="R45" s="148">
        <f>SUM(Q45:Q45)</f>
        <v>2.2827294000000005</v>
      </c>
      <c r="S45" s="379"/>
      <c r="T45" s="383"/>
      <c r="U45" s="149"/>
      <c r="V45" s="326"/>
      <c r="W45" s="326"/>
      <c r="X45" s="326">
        <f t="shared" si="0"/>
        <v>0</v>
      </c>
    </row>
    <row r="46" spans="1:24" ht="12.75" hidden="1" customHeight="1">
      <c r="A46" s="334"/>
      <c r="C46" s="381"/>
      <c r="E46" s="148"/>
      <c r="I46" s="143"/>
      <c r="K46" s="144"/>
      <c r="Q46" s="176"/>
      <c r="R46" s="148"/>
      <c r="S46" s="148"/>
      <c r="T46" s="155"/>
      <c r="U46" s="149"/>
      <c r="V46" s="326"/>
      <c r="W46" s="326"/>
      <c r="X46" s="326">
        <f t="shared" si="0"/>
        <v>0</v>
      </c>
    </row>
    <row r="47" spans="1:24" ht="12.75" customHeight="1">
      <c r="A47" s="335"/>
      <c r="B47" s="156"/>
      <c r="C47" s="157"/>
      <c r="D47" s="158"/>
      <c r="E47" s="159"/>
      <c r="F47" s="160"/>
      <c r="G47" s="161"/>
      <c r="H47" s="160"/>
      <c r="I47" s="162"/>
      <c r="J47" s="161"/>
      <c r="K47" s="163"/>
      <c r="Q47" s="176"/>
      <c r="R47" s="148"/>
      <c r="S47" s="148"/>
      <c r="T47" s="155"/>
      <c r="U47" s="149"/>
      <c r="V47" s="326"/>
      <c r="W47" s="326"/>
      <c r="X47" s="326">
        <f t="shared" si="0"/>
        <v>0</v>
      </c>
    </row>
    <row r="48" spans="1:24" s="45" customFormat="1" ht="12.75" customHeight="1">
      <c r="A48" s="337">
        <f>A44+1</f>
        <v>7</v>
      </c>
      <c r="B48" s="91" t="s">
        <v>42</v>
      </c>
      <c r="C48" s="388" t="s">
        <v>82</v>
      </c>
      <c r="D48" s="23" t="s">
        <v>31</v>
      </c>
      <c r="E48" s="100">
        <v>492.8</v>
      </c>
      <c r="F48" s="6"/>
      <c r="G48" s="2">
        <v>0.88</v>
      </c>
      <c r="H48" s="6"/>
      <c r="I48" s="24"/>
      <c r="J48" s="2">
        <v>0.03</v>
      </c>
      <c r="K48" s="25"/>
      <c r="L48" s="39"/>
      <c r="M48" s="40"/>
      <c r="N48" s="41"/>
      <c r="O48" s="41"/>
      <c r="P48" s="14"/>
      <c r="Q48" s="43"/>
      <c r="R48" s="22">
        <f>G49+J49</f>
        <v>1.7514595000000002</v>
      </c>
      <c r="S48" s="387">
        <f>R48+R49</f>
        <v>2.6074830250000005</v>
      </c>
      <c r="T48" s="389">
        <f>E48*S48</f>
        <v>1284.9676347200002</v>
      </c>
      <c r="U48" s="249"/>
      <c r="V48" s="326"/>
      <c r="W48" s="326"/>
      <c r="X48" s="326">
        <f t="shared" si="0"/>
        <v>0</v>
      </c>
    </row>
    <row r="49" spans="1:24" s="45" customFormat="1" ht="12.75" customHeight="1">
      <c r="A49" s="338"/>
      <c r="B49" s="91" t="s">
        <v>65</v>
      </c>
      <c r="C49" s="384"/>
      <c r="D49" s="23"/>
      <c r="E49" s="100"/>
      <c r="F49" s="6"/>
      <c r="G49" s="131">
        <f>G48*$J$14/1000</f>
        <v>1.6736632000000002</v>
      </c>
      <c r="H49" s="142"/>
      <c r="I49" s="143"/>
      <c r="J49" s="131">
        <f>J48*$Q$14/1000</f>
        <v>7.7796299999999999E-2</v>
      </c>
      <c r="K49" s="25"/>
      <c r="L49" s="390" t="s">
        <v>95</v>
      </c>
      <c r="M49" s="46" t="s">
        <v>31</v>
      </c>
      <c r="N49" s="47">
        <v>1</v>
      </c>
      <c r="O49" s="84">
        <f>E48*N49</f>
        <v>492.8</v>
      </c>
      <c r="P49" s="311">
        <v>0.75</v>
      </c>
      <c r="Q49" s="184">
        <f>N49*P49*$N$12</f>
        <v>0.85602352500000012</v>
      </c>
      <c r="R49" s="100">
        <f>SUM(Q49:Q49)</f>
        <v>0.85602352500000012</v>
      </c>
      <c r="S49" s="385"/>
      <c r="T49" s="386"/>
      <c r="U49" s="249"/>
      <c r="V49" s="326"/>
      <c r="W49" s="326"/>
      <c r="X49" s="326">
        <f t="shared" si="0"/>
        <v>0</v>
      </c>
    </row>
    <row r="50" spans="1:24" s="45" customFormat="1" ht="12.75" hidden="1" customHeight="1">
      <c r="A50" s="338"/>
      <c r="B50" s="249"/>
      <c r="C50" s="384"/>
      <c r="D50" s="23"/>
      <c r="E50" s="100"/>
      <c r="F50" s="6"/>
      <c r="G50" s="2"/>
      <c r="H50" s="6"/>
      <c r="I50" s="24"/>
      <c r="J50" s="2"/>
      <c r="K50" s="25"/>
      <c r="L50" s="391"/>
      <c r="M50" s="185"/>
      <c r="N50" s="186"/>
      <c r="O50" s="186"/>
      <c r="P50" s="314"/>
      <c r="Q50" s="187"/>
      <c r="R50" s="100"/>
      <c r="S50" s="100"/>
      <c r="T50" s="27"/>
      <c r="U50" s="249"/>
      <c r="V50" s="326"/>
      <c r="W50" s="326"/>
      <c r="X50" s="326">
        <f t="shared" si="0"/>
        <v>0</v>
      </c>
    </row>
    <row r="51" spans="1:24" ht="12" hidden="1" customHeight="1">
      <c r="A51" s="338"/>
      <c r="B51" s="249"/>
      <c r="C51" s="384"/>
      <c r="D51" s="23"/>
      <c r="E51" s="100"/>
      <c r="F51" s="6"/>
      <c r="G51" s="2"/>
      <c r="H51" s="6"/>
      <c r="I51" s="24"/>
      <c r="J51" s="2"/>
      <c r="K51" s="25"/>
      <c r="L51" s="391"/>
      <c r="M51" s="185"/>
      <c r="N51" s="186"/>
      <c r="O51" s="186"/>
      <c r="P51" s="314"/>
      <c r="Q51" s="187"/>
      <c r="R51" s="100"/>
      <c r="S51" s="100"/>
      <c r="T51" s="27"/>
      <c r="U51" s="149"/>
      <c r="V51" s="326"/>
      <c r="W51" s="326"/>
      <c r="X51" s="326">
        <f t="shared" si="0"/>
        <v>0</v>
      </c>
    </row>
    <row r="52" spans="1:24" ht="12.75" hidden="1" customHeight="1">
      <c r="A52" s="338"/>
      <c r="B52" s="249"/>
      <c r="C52" s="384"/>
      <c r="D52" s="23"/>
      <c r="E52" s="100"/>
      <c r="F52" s="6"/>
      <c r="G52" s="2"/>
      <c r="H52" s="6"/>
      <c r="I52" s="24"/>
      <c r="J52" s="2"/>
      <c r="K52" s="25"/>
      <c r="L52" s="391"/>
      <c r="M52" s="185"/>
      <c r="N52" s="186"/>
      <c r="O52" s="186"/>
      <c r="P52" s="314"/>
      <c r="Q52" s="187"/>
      <c r="R52" s="100"/>
      <c r="S52" s="100"/>
      <c r="T52" s="27"/>
      <c r="U52" s="149"/>
      <c r="V52" s="326"/>
      <c r="W52" s="326"/>
      <c r="X52" s="326">
        <f t="shared" si="0"/>
        <v>0</v>
      </c>
    </row>
    <row r="53" spans="1:24" ht="12.75" customHeight="1">
      <c r="A53" s="339"/>
      <c r="B53" s="28"/>
      <c r="C53" s="29"/>
      <c r="D53" s="30"/>
      <c r="E53" s="88"/>
      <c r="F53" s="31"/>
      <c r="G53" s="32"/>
      <c r="H53" s="31"/>
      <c r="I53" s="33"/>
      <c r="J53" s="32"/>
      <c r="K53" s="34"/>
      <c r="L53" s="3"/>
      <c r="M53" s="1"/>
      <c r="N53" s="4"/>
      <c r="O53" s="4"/>
      <c r="P53" s="6"/>
      <c r="Q53" s="26"/>
      <c r="R53" s="100"/>
      <c r="S53" s="100"/>
      <c r="T53" s="27"/>
      <c r="U53" s="149"/>
      <c r="V53" s="326"/>
      <c r="W53" s="326"/>
      <c r="X53" s="326">
        <f t="shared" si="0"/>
        <v>0</v>
      </c>
    </row>
    <row r="54" spans="1:24" ht="12.75" customHeight="1">
      <c r="A54" s="337">
        <f>A48+1</f>
        <v>8</v>
      </c>
      <c r="B54" s="403" t="s">
        <v>68</v>
      </c>
      <c r="C54" s="380" t="s">
        <v>83</v>
      </c>
      <c r="D54" s="141" t="s">
        <v>29</v>
      </c>
      <c r="E54" s="148">
        <v>186</v>
      </c>
      <c r="G54" s="150">
        <v>0</v>
      </c>
      <c r="I54" s="143"/>
      <c r="J54" s="150">
        <v>0</v>
      </c>
      <c r="K54" s="144"/>
      <c r="L54" s="134"/>
      <c r="M54" s="135"/>
      <c r="N54" s="136"/>
      <c r="O54" s="137"/>
      <c r="P54" s="130"/>
      <c r="Q54" s="138"/>
      <c r="R54" s="139">
        <f>G55+J55</f>
        <v>0</v>
      </c>
      <c r="S54" s="378">
        <f>R54+R55</f>
        <v>1.7120470500000002</v>
      </c>
      <c r="T54" s="382">
        <f>E54*S54</f>
        <v>318.44075130000004</v>
      </c>
      <c r="U54" s="149"/>
      <c r="V54" s="326"/>
      <c r="W54" s="326"/>
      <c r="X54" s="326">
        <f t="shared" si="0"/>
        <v>0</v>
      </c>
    </row>
    <row r="55" spans="1:24" ht="12.75" customHeight="1">
      <c r="A55" s="334"/>
      <c r="B55" s="404"/>
      <c r="C55" s="381"/>
      <c r="E55" s="148"/>
      <c r="G55" s="131">
        <f>G54*$J$14/1000</f>
        <v>0</v>
      </c>
      <c r="I55" s="143"/>
      <c r="J55" s="131">
        <f>J54*$Q$14/1000</f>
        <v>0</v>
      </c>
      <c r="K55" s="144"/>
      <c r="L55" s="405" t="s">
        <v>76</v>
      </c>
      <c r="M55" s="145" t="s">
        <v>29</v>
      </c>
      <c r="N55" s="146">
        <v>1</v>
      </c>
      <c r="O55" s="146">
        <f>E54*N55</f>
        <v>186</v>
      </c>
      <c r="P55" s="315">
        <v>1.5</v>
      </c>
      <c r="Q55" s="147">
        <f>N55*P55*$N$12</f>
        <v>1.7120470500000002</v>
      </c>
      <c r="R55" s="148">
        <f>SUM(Q55:Q55)</f>
        <v>1.7120470500000002</v>
      </c>
      <c r="S55" s="379"/>
      <c r="T55" s="383"/>
      <c r="U55" s="149"/>
      <c r="V55" s="326"/>
      <c r="W55" s="326"/>
      <c r="X55" s="326">
        <f t="shared" si="0"/>
        <v>0</v>
      </c>
    </row>
    <row r="56" spans="1:24" ht="12.75" hidden="1" customHeight="1">
      <c r="A56" s="334"/>
      <c r="C56" s="381"/>
      <c r="E56" s="148"/>
      <c r="I56" s="143"/>
      <c r="K56" s="144"/>
      <c r="L56" s="406"/>
      <c r="M56" s="188"/>
      <c r="N56" s="189"/>
      <c r="O56" s="190"/>
      <c r="P56" s="316"/>
      <c r="Q56" s="191"/>
      <c r="R56" s="148"/>
      <c r="S56" s="148"/>
      <c r="T56" s="155"/>
      <c r="U56" s="149"/>
      <c r="V56" s="326"/>
      <c r="W56" s="326"/>
      <c r="X56" s="326">
        <f t="shared" si="0"/>
        <v>0</v>
      </c>
    </row>
    <row r="57" spans="1:24" ht="12.75" hidden="1" customHeight="1">
      <c r="A57" s="334"/>
      <c r="C57" s="381"/>
      <c r="E57" s="148"/>
      <c r="I57" s="143"/>
      <c r="K57" s="144"/>
      <c r="L57" s="407"/>
      <c r="M57" s="151"/>
      <c r="N57" s="152"/>
      <c r="O57" s="153"/>
      <c r="P57" s="310"/>
      <c r="Q57" s="154"/>
      <c r="R57" s="148"/>
      <c r="S57" s="148"/>
      <c r="T57" s="155"/>
      <c r="U57" s="149"/>
      <c r="V57" s="326"/>
      <c r="W57" s="326"/>
      <c r="X57" s="326">
        <f t="shared" si="0"/>
        <v>0</v>
      </c>
    </row>
    <row r="58" spans="1:24" ht="15.75" customHeight="1">
      <c r="A58" s="335"/>
      <c r="B58" s="156"/>
      <c r="C58" s="157"/>
      <c r="D58" s="158"/>
      <c r="E58" s="159"/>
      <c r="F58" s="160"/>
      <c r="G58" s="161"/>
      <c r="H58" s="160"/>
      <c r="I58" s="162"/>
      <c r="J58" s="161"/>
      <c r="K58" s="163"/>
      <c r="Q58" s="176"/>
      <c r="R58" s="148"/>
      <c r="S58" s="148"/>
      <c r="T58" s="155"/>
      <c r="U58" s="149"/>
      <c r="V58" s="326"/>
      <c r="W58" s="326"/>
      <c r="X58" s="326">
        <f t="shared" si="0"/>
        <v>0</v>
      </c>
    </row>
    <row r="59" spans="1:24" ht="12.75" customHeight="1">
      <c r="A59" s="333">
        <f>A54+1</f>
        <v>9</v>
      </c>
      <c r="B59" s="192" t="s">
        <v>54</v>
      </c>
      <c r="C59" s="380" t="s">
        <v>84</v>
      </c>
      <c r="D59" s="129" t="s">
        <v>29</v>
      </c>
      <c r="E59" s="140">
        <v>10</v>
      </c>
      <c r="F59" s="130"/>
      <c r="G59" s="131">
        <v>0.97</v>
      </c>
      <c r="H59" s="130"/>
      <c r="I59" s="132"/>
      <c r="J59" s="131">
        <v>0.13</v>
      </c>
      <c r="K59" s="133"/>
      <c r="L59" s="134"/>
      <c r="M59" s="135"/>
      <c r="N59" s="136"/>
      <c r="O59" s="137"/>
      <c r="P59" s="130"/>
      <c r="Q59" s="138"/>
      <c r="R59" s="139">
        <f>G60+J60</f>
        <v>2.1819506</v>
      </c>
      <c r="S59" s="378">
        <f>R59+R60</f>
        <v>4.6929529400000005</v>
      </c>
      <c r="T59" s="382">
        <f>E59*S59</f>
        <v>46.929529400000007</v>
      </c>
      <c r="U59" s="149"/>
      <c r="V59" s="326"/>
      <c r="W59" s="326"/>
      <c r="X59" s="326">
        <f t="shared" si="0"/>
        <v>0</v>
      </c>
    </row>
    <row r="60" spans="1:24" ht="11.25" customHeight="1">
      <c r="A60" s="334"/>
      <c r="B60" s="170" t="s">
        <v>55</v>
      </c>
      <c r="C60" s="381"/>
      <c r="E60" s="148"/>
      <c r="G60" s="131">
        <f>G59*$J$14/1000</f>
        <v>1.8448332999999999</v>
      </c>
      <c r="I60" s="143"/>
      <c r="J60" s="131">
        <f>J59*$Q$14/1000</f>
        <v>0.33711730000000001</v>
      </c>
      <c r="K60" s="144"/>
      <c r="L60" s="181" t="s">
        <v>85</v>
      </c>
      <c r="M60" s="182" t="s">
        <v>29</v>
      </c>
      <c r="N60" s="183">
        <v>1</v>
      </c>
      <c r="O60" s="183">
        <f>E59*N60</f>
        <v>10</v>
      </c>
      <c r="P60" s="313">
        <v>2.2000000000000002</v>
      </c>
      <c r="Q60" s="184">
        <f>N60*P60*$N$12</f>
        <v>2.5110023400000006</v>
      </c>
      <c r="R60" s="148">
        <f>SUM(Q60:Q60)</f>
        <v>2.5110023400000006</v>
      </c>
      <c r="S60" s="379"/>
      <c r="T60" s="383"/>
      <c r="U60" s="149"/>
      <c r="V60" s="326"/>
      <c r="W60" s="326"/>
      <c r="X60" s="326">
        <f t="shared" si="0"/>
        <v>0</v>
      </c>
    </row>
    <row r="61" spans="1:24" ht="12.75" hidden="1" customHeight="1">
      <c r="A61" s="334"/>
      <c r="C61" s="381"/>
      <c r="E61" s="148"/>
      <c r="I61" s="143"/>
      <c r="K61" s="144"/>
      <c r="Q61" s="176"/>
      <c r="R61" s="148"/>
      <c r="S61" s="148"/>
      <c r="T61" s="155"/>
      <c r="U61" s="149"/>
      <c r="V61" s="326"/>
      <c r="W61" s="326"/>
      <c r="X61" s="326">
        <f t="shared" si="0"/>
        <v>0</v>
      </c>
    </row>
    <row r="62" spans="1:24" ht="14.25" customHeight="1">
      <c r="A62" s="335"/>
      <c r="B62" s="156"/>
      <c r="C62" s="157"/>
      <c r="D62" s="158"/>
      <c r="E62" s="159"/>
      <c r="F62" s="160"/>
      <c r="G62" s="161"/>
      <c r="H62" s="160"/>
      <c r="I62" s="162"/>
      <c r="J62" s="161"/>
      <c r="K62" s="163"/>
      <c r="L62" s="164"/>
      <c r="M62" s="165"/>
      <c r="N62" s="166"/>
      <c r="O62" s="167"/>
      <c r="P62" s="160"/>
      <c r="Q62" s="168"/>
      <c r="R62" s="159"/>
      <c r="S62" s="159"/>
      <c r="T62" s="169"/>
      <c r="U62" s="149"/>
      <c r="V62" s="326"/>
      <c r="W62" s="326"/>
      <c r="X62" s="326">
        <f t="shared" si="0"/>
        <v>0</v>
      </c>
    </row>
    <row r="63" spans="1:24" ht="12.75" customHeight="1">
      <c r="A63" s="337">
        <f>A59+1</f>
        <v>10</v>
      </c>
      <c r="B63" s="170" t="s">
        <v>54</v>
      </c>
      <c r="C63" s="381" t="s">
        <v>86</v>
      </c>
      <c r="D63" s="141" t="s">
        <v>29</v>
      </c>
      <c r="E63" s="148">
        <v>5</v>
      </c>
      <c r="G63" s="150">
        <v>0.97</v>
      </c>
      <c r="I63" s="143"/>
      <c r="J63" s="150">
        <v>0.13</v>
      </c>
      <c r="K63" s="144"/>
      <c r="L63" s="134"/>
      <c r="M63" s="135"/>
      <c r="N63" s="136"/>
      <c r="O63" s="137"/>
      <c r="P63" s="130"/>
      <c r="Q63" s="138"/>
      <c r="R63" s="139">
        <f>G64+J64</f>
        <v>2.1819506</v>
      </c>
      <c r="S63" s="378">
        <f>R63+R64</f>
        <v>4.6929529400000005</v>
      </c>
      <c r="T63" s="382">
        <f>E63*S63</f>
        <v>23.464764700000003</v>
      </c>
      <c r="U63" s="149"/>
      <c r="V63" s="326"/>
      <c r="W63" s="326"/>
      <c r="X63" s="326">
        <f t="shared" si="0"/>
        <v>0</v>
      </c>
    </row>
    <row r="64" spans="1:24" ht="12" customHeight="1">
      <c r="A64" s="334"/>
      <c r="B64" s="170" t="s">
        <v>55</v>
      </c>
      <c r="C64" s="381"/>
      <c r="E64" s="148"/>
      <c r="G64" s="131">
        <f>G63*$J$14/1000</f>
        <v>1.8448332999999999</v>
      </c>
      <c r="I64" s="143"/>
      <c r="J64" s="131">
        <f>J63*$Q$14/1000</f>
        <v>0.33711730000000001</v>
      </c>
      <c r="K64" s="144"/>
      <c r="L64" s="181" t="s">
        <v>85</v>
      </c>
      <c r="M64" s="182" t="s">
        <v>29</v>
      </c>
      <c r="N64" s="183">
        <v>1</v>
      </c>
      <c r="O64" s="183">
        <f>E63*N64</f>
        <v>5</v>
      </c>
      <c r="P64" s="313">
        <v>2.2000000000000002</v>
      </c>
      <c r="Q64" s="184">
        <f>N64*P64*$N$12</f>
        <v>2.5110023400000006</v>
      </c>
      <c r="R64" s="148">
        <f>SUM(Q64:Q64)</f>
        <v>2.5110023400000006</v>
      </c>
      <c r="S64" s="379"/>
      <c r="T64" s="383"/>
      <c r="U64" s="149"/>
      <c r="V64" s="326"/>
      <c r="W64" s="326"/>
      <c r="X64" s="326">
        <f t="shared" si="0"/>
        <v>0</v>
      </c>
    </row>
    <row r="65" spans="1:24" ht="12.75" hidden="1" customHeight="1">
      <c r="A65" s="334"/>
      <c r="C65" s="381"/>
      <c r="E65" s="148"/>
      <c r="I65" s="143"/>
      <c r="K65" s="144"/>
      <c r="Q65" s="176"/>
      <c r="R65" s="148"/>
      <c r="S65" s="148"/>
      <c r="T65" s="155"/>
      <c r="U65" s="149"/>
      <c r="V65" s="326"/>
      <c r="W65" s="326"/>
      <c r="X65" s="326">
        <f t="shared" si="0"/>
        <v>0</v>
      </c>
    </row>
    <row r="66" spans="1:24" ht="12.75" customHeight="1">
      <c r="A66" s="335"/>
      <c r="B66" s="156"/>
      <c r="C66" s="157"/>
      <c r="D66" s="158"/>
      <c r="E66" s="159"/>
      <c r="F66" s="160"/>
      <c r="G66" s="161"/>
      <c r="H66" s="160"/>
      <c r="I66" s="162"/>
      <c r="J66" s="161"/>
      <c r="K66" s="163"/>
      <c r="Q66" s="176"/>
      <c r="R66" s="148"/>
      <c r="S66" s="148"/>
      <c r="T66" s="155"/>
      <c r="U66" s="149"/>
      <c r="V66" s="326"/>
      <c r="W66" s="326"/>
      <c r="X66" s="326">
        <f t="shared" si="0"/>
        <v>0</v>
      </c>
    </row>
    <row r="67" spans="1:24" ht="12.75" customHeight="1">
      <c r="A67" s="337">
        <f>A63+1</f>
        <v>11</v>
      </c>
      <c r="B67" s="91" t="s">
        <v>27</v>
      </c>
      <c r="C67" s="388" t="s">
        <v>152</v>
      </c>
      <c r="D67" s="141" t="s">
        <v>29</v>
      </c>
      <c r="E67" s="100">
        <v>224</v>
      </c>
      <c r="F67" s="6"/>
      <c r="G67" s="2">
        <v>0</v>
      </c>
      <c r="H67" s="6"/>
      <c r="I67" s="24"/>
      <c r="J67" s="2">
        <v>0</v>
      </c>
      <c r="K67" s="25"/>
      <c r="L67" s="39"/>
      <c r="M67" s="40"/>
      <c r="N67" s="41"/>
      <c r="O67" s="41"/>
      <c r="P67" s="14"/>
      <c r="Q67" s="43"/>
      <c r="R67" s="22">
        <f>G68+J68</f>
        <v>0</v>
      </c>
      <c r="S67" s="387">
        <f>R67+R68</f>
        <v>0.11413647000000003</v>
      </c>
      <c r="T67" s="389">
        <f>E67*S67</f>
        <v>25.566569280000007</v>
      </c>
      <c r="U67" s="149"/>
      <c r="V67" s="326"/>
      <c r="W67" s="326"/>
      <c r="X67" s="326">
        <f t="shared" si="0"/>
        <v>0</v>
      </c>
    </row>
    <row r="68" spans="1:24" ht="12" customHeight="1">
      <c r="A68" s="338"/>
      <c r="B68" s="249"/>
      <c r="C68" s="384"/>
      <c r="D68" s="23"/>
      <c r="E68" s="100"/>
      <c r="F68" s="6"/>
      <c r="G68" s="15">
        <f>G67*$J$10/1000</f>
        <v>0</v>
      </c>
      <c r="H68" s="6"/>
      <c r="I68" s="24"/>
      <c r="J68" s="15">
        <f>J67*$Q$10/1000</f>
        <v>0</v>
      </c>
      <c r="K68" s="25"/>
      <c r="L68" s="390" t="s">
        <v>73</v>
      </c>
      <c r="M68" s="46" t="s">
        <v>36</v>
      </c>
      <c r="N68" s="47">
        <v>1</v>
      </c>
      <c r="O68" s="84">
        <f>E67*N68</f>
        <v>224</v>
      </c>
      <c r="P68" s="311">
        <v>0.1</v>
      </c>
      <c r="Q68" s="147">
        <f>N68*P68*$N$12</f>
        <v>0.11413647000000003</v>
      </c>
      <c r="R68" s="100">
        <f>SUM(Q68:Q68)</f>
        <v>0.11413647000000003</v>
      </c>
      <c r="S68" s="385"/>
      <c r="T68" s="386"/>
      <c r="U68" s="149"/>
      <c r="V68" s="326"/>
      <c r="W68" s="326"/>
      <c r="X68" s="326">
        <f t="shared" si="0"/>
        <v>0</v>
      </c>
    </row>
    <row r="69" spans="1:24" ht="12.75" hidden="1" customHeight="1">
      <c r="A69" s="338"/>
      <c r="B69" s="249"/>
      <c r="C69" s="384"/>
      <c r="D69" s="23"/>
      <c r="E69" s="100"/>
      <c r="F69" s="6"/>
      <c r="G69" s="2"/>
      <c r="H69" s="6"/>
      <c r="I69" s="24"/>
      <c r="J69" s="2"/>
      <c r="K69" s="25"/>
      <c r="L69" s="402"/>
      <c r="M69" s="178"/>
      <c r="N69" s="179"/>
      <c r="O69" s="179"/>
      <c r="P69" s="312"/>
      <c r="Q69" s="180"/>
      <c r="R69" s="100"/>
      <c r="S69" s="100"/>
      <c r="T69" s="27"/>
      <c r="U69" s="149"/>
      <c r="V69" s="326"/>
      <c r="W69" s="326"/>
      <c r="X69" s="326">
        <f t="shared" si="0"/>
        <v>0</v>
      </c>
    </row>
    <row r="70" spans="1:24" ht="12.75" customHeight="1">
      <c r="A70" s="339"/>
      <c r="B70" s="28"/>
      <c r="C70" s="29"/>
      <c r="D70" s="30"/>
      <c r="E70" s="88"/>
      <c r="F70" s="31"/>
      <c r="G70" s="32"/>
      <c r="H70" s="31"/>
      <c r="I70" s="33"/>
      <c r="J70" s="32"/>
      <c r="K70" s="34"/>
      <c r="L70" s="3"/>
      <c r="M70" s="1"/>
      <c r="N70" s="4"/>
      <c r="O70" s="4"/>
      <c r="P70" s="6"/>
      <c r="Q70" s="26"/>
      <c r="R70" s="100"/>
      <c r="S70" s="100"/>
      <c r="T70" s="27"/>
      <c r="U70" s="149"/>
      <c r="V70" s="326"/>
      <c r="W70" s="326"/>
      <c r="X70" s="326">
        <f t="shared" si="0"/>
        <v>0</v>
      </c>
    </row>
    <row r="71" spans="1:24" s="45" customFormat="1" ht="12.75" customHeight="1">
      <c r="A71" s="337">
        <f>A67+1</f>
        <v>12</v>
      </c>
      <c r="B71" s="91" t="s">
        <v>64</v>
      </c>
      <c r="C71" s="388" t="s">
        <v>87</v>
      </c>
      <c r="D71" s="23" t="s">
        <v>31</v>
      </c>
      <c r="E71" s="100">
        <v>108</v>
      </c>
      <c r="F71" s="6"/>
      <c r="G71" s="2">
        <v>1.1100000000000001</v>
      </c>
      <c r="H71" s="6"/>
      <c r="I71" s="24"/>
      <c r="J71" s="2">
        <v>0.04</v>
      </c>
      <c r="K71" s="25"/>
      <c r="L71" s="39"/>
      <c r="M71" s="40"/>
      <c r="N71" s="41"/>
      <c r="O71" s="41"/>
      <c r="P71" s="14"/>
      <c r="Q71" s="43"/>
      <c r="R71" s="22">
        <f>G72+J72</f>
        <v>2.2148263000000004</v>
      </c>
      <c r="S71" s="387">
        <f>R71+R72</f>
        <v>2.7444195208000006</v>
      </c>
      <c r="T71" s="389">
        <f>E71*S71</f>
        <v>296.39730824640009</v>
      </c>
      <c r="U71" s="249"/>
      <c r="V71" s="326"/>
      <c r="W71" s="326"/>
      <c r="X71" s="326">
        <f t="shared" si="0"/>
        <v>0</v>
      </c>
    </row>
    <row r="72" spans="1:24" s="45" customFormat="1" ht="11.25" customHeight="1">
      <c r="A72" s="338"/>
      <c r="B72" s="91" t="s">
        <v>65</v>
      </c>
      <c r="C72" s="384"/>
      <c r="D72" s="23"/>
      <c r="E72" s="100"/>
      <c r="F72" s="6"/>
      <c r="G72" s="131">
        <f>G71*$J$14/1000</f>
        <v>2.1110979000000003</v>
      </c>
      <c r="H72" s="142"/>
      <c r="I72" s="143"/>
      <c r="J72" s="131">
        <f>J71*$Q$14/1000</f>
        <v>0.10372840000000001</v>
      </c>
      <c r="K72" s="25"/>
      <c r="L72" s="390" t="s">
        <v>75</v>
      </c>
      <c r="M72" s="46" t="s">
        <v>31</v>
      </c>
      <c r="N72" s="47">
        <v>1</v>
      </c>
      <c r="O72" s="84">
        <f>E71*N72</f>
        <v>108</v>
      </c>
      <c r="P72" s="311">
        <v>0.46400000000000002</v>
      </c>
      <c r="Q72" s="184">
        <f>N72*P72*$N$12</f>
        <v>0.52959322080000015</v>
      </c>
      <c r="R72" s="100">
        <f>SUM(Q72:Q72)</f>
        <v>0.52959322080000015</v>
      </c>
      <c r="S72" s="385"/>
      <c r="T72" s="386"/>
      <c r="U72" s="249"/>
      <c r="V72" s="326"/>
      <c r="W72" s="326"/>
      <c r="X72" s="326">
        <f t="shared" si="0"/>
        <v>0</v>
      </c>
    </row>
    <row r="73" spans="1:24" s="45" customFormat="1" ht="12.75" hidden="1" customHeight="1">
      <c r="A73" s="338"/>
      <c r="B73" s="249"/>
      <c r="C73" s="384"/>
      <c r="D73" s="23"/>
      <c r="E73" s="100"/>
      <c r="F73" s="6"/>
      <c r="G73" s="2"/>
      <c r="H73" s="6"/>
      <c r="I73" s="24"/>
      <c r="J73" s="2"/>
      <c r="K73" s="25"/>
      <c r="L73" s="391"/>
      <c r="M73" s="185"/>
      <c r="N73" s="186"/>
      <c r="O73" s="186"/>
      <c r="P73" s="314"/>
      <c r="Q73" s="187"/>
      <c r="R73" s="100"/>
      <c r="S73" s="100"/>
      <c r="T73" s="27"/>
      <c r="U73" s="249"/>
      <c r="V73" s="326"/>
      <c r="W73" s="326"/>
      <c r="X73" s="326">
        <f t="shared" si="0"/>
        <v>0</v>
      </c>
    </row>
    <row r="74" spans="1:24" ht="12" hidden="1" customHeight="1">
      <c r="A74" s="338"/>
      <c r="B74" s="249"/>
      <c r="C74" s="384"/>
      <c r="D74" s="23"/>
      <c r="E74" s="100"/>
      <c r="F74" s="6"/>
      <c r="G74" s="2"/>
      <c r="H74" s="6"/>
      <c r="I74" s="24"/>
      <c r="J74" s="2"/>
      <c r="K74" s="25"/>
      <c r="L74" s="391"/>
      <c r="M74" s="185"/>
      <c r="N74" s="186"/>
      <c r="O74" s="186"/>
      <c r="P74" s="314"/>
      <c r="Q74" s="187"/>
      <c r="R74" s="100"/>
      <c r="S74" s="100"/>
      <c r="T74" s="27"/>
      <c r="U74" s="149"/>
      <c r="V74" s="326"/>
      <c r="W74" s="326"/>
      <c r="X74" s="326">
        <f t="shared" si="0"/>
        <v>0</v>
      </c>
    </row>
    <row r="75" spans="1:24" ht="12.75" hidden="1" customHeight="1">
      <c r="A75" s="338"/>
      <c r="B75" s="249"/>
      <c r="C75" s="384"/>
      <c r="D75" s="23"/>
      <c r="E75" s="100"/>
      <c r="F75" s="6"/>
      <c r="G75" s="2"/>
      <c r="H75" s="6"/>
      <c r="I75" s="24"/>
      <c r="J75" s="2"/>
      <c r="K75" s="25"/>
      <c r="L75" s="391"/>
      <c r="M75" s="185"/>
      <c r="N75" s="186"/>
      <c r="O75" s="186"/>
      <c r="P75" s="314"/>
      <c r="Q75" s="187"/>
      <c r="R75" s="100"/>
      <c r="S75" s="100"/>
      <c r="T75" s="27"/>
      <c r="U75" s="149"/>
      <c r="V75" s="326"/>
      <c r="W75" s="326"/>
      <c r="X75" s="326">
        <f t="shared" si="0"/>
        <v>0</v>
      </c>
    </row>
    <row r="76" spans="1:24" ht="12.75" customHeight="1">
      <c r="A76" s="339"/>
      <c r="B76" s="28"/>
      <c r="C76" s="29"/>
      <c r="D76" s="30"/>
      <c r="E76" s="88"/>
      <c r="F76" s="31"/>
      <c r="G76" s="32"/>
      <c r="H76" s="31"/>
      <c r="I76" s="33"/>
      <c r="J76" s="32"/>
      <c r="K76" s="34"/>
      <c r="L76" s="3"/>
      <c r="M76" s="1"/>
      <c r="N76" s="4"/>
      <c r="O76" s="4"/>
      <c r="P76" s="6"/>
      <c r="Q76" s="26"/>
      <c r="R76" s="100"/>
      <c r="S76" s="100"/>
      <c r="T76" s="27"/>
      <c r="U76" s="149"/>
      <c r="V76" s="326"/>
      <c r="W76" s="326"/>
      <c r="X76" s="326">
        <f t="shared" si="0"/>
        <v>0</v>
      </c>
    </row>
    <row r="77" spans="1:24" ht="12.75" customHeight="1">
      <c r="A77" s="337">
        <f>A71+1</f>
        <v>13</v>
      </c>
      <c r="B77" s="403" t="s">
        <v>68</v>
      </c>
      <c r="C77" s="380" t="s">
        <v>88</v>
      </c>
      <c r="D77" s="141" t="s">
        <v>29</v>
      </c>
      <c r="E77" s="148">
        <v>186</v>
      </c>
      <c r="G77" s="150">
        <v>0</v>
      </c>
      <c r="I77" s="143"/>
      <c r="J77" s="150">
        <v>0</v>
      </c>
      <c r="K77" s="144"/>
      <c r="L77" s="134"/>
      <c r="M77" s="135"/>
      <c r="N77" s="136"/>
      <c r="O77" s="137"/>
      <c r="P77" s="130"/>
      <c r="Q77" s="138"/>
      <c r="R77" s="139">
        <f>G78+J78</f>
        <v>0</v>
      </c>
      <c r="S77" s="378">
        <f>R77+R78</f>
        <v>0.39947764500000005</v>
      </c>
      <c r="T77" s="382">
        <f>E77*S77</f>
        <v>74.302841970000003</v>
      </c>
      <c r="U77" s="149"/>
      <c r="V77" s="326"/>
      <c r="W77" s="326"/>
      <c r="X77" s="326">
        <f t="shared" si="0"/>
        <v>0</v>
      </c>
    </row>
    <row r="78" spans="1:24" ht="12" customHeight="1">
      <c r="A78" s="334"/>
      <c r="B78" s="404"/>
      <c r="C78" s="381"/>
      <c r="E78" s="148"/>
      <c r="G78" s="131">
        <f>G77*$J$14/1000</f>
        <v>0</v>
      </c>
      <c r="I78" s="143"/>
      <c r="J78" s="131">
        <f>J77*$Q$14/1000</f>
        <v>0</v>
      </c>
      <c r="K78" s="144"/>
      <c r="L78" s="405" t="s">
        <v>76</v>
      </c>
      <c r="M78" s="145" t="s">
        <v>29</v>
      </c>
      <c r="N78" s="146">
        <v>1</v>
      </c>
      <c r="O78" s="146">
        <f>E77*N78</f>
        <v>186</v>
      </c>
      <c r="P78" s="315">
        <v>0.35</v>
      </c>
      <c r="Q78" s="147">
        <f>N78*P78*$N$12</f>
        <v>0.39947764500000005</v>
      </c>
      <c r="R78" s="148">
        <f>SUM(Q78:Q78)</f>
        <v>0.39947764500000005</v>
      </c>
      <c r="S78" s="379"/>
      <c r="T78" s="383"/>
      <c r="U78" s="149"/>
      <c r="V78" s="326"/>
      <c r="W78" s="326"/>
      <c r="X78" s="326">
        <f t="shared" si="0"/>
        <v>0</v>
      </c>
    </row>
    <row r="79" spans="1:24" ht="12.75" hidden="1" customHeight="1">
      <c r="A79" s="334"/>
      <c r="C79" s="381"/>
      <c r="E79" s="148"/>
      <c r="I79" s="143"/>
      <c r="K79" s="144"/>
      <c r="L79" s="406"/>
      <c r="M79" s="188"/>
      <c r="N79" s="189"/>
      <c r="O79" s="190"/>
      <c r="P79" s="316"/>
      <c r="Q79" s="191"/>
      <c r="R79" s="148"/>
      <c r="S79" s="148"/>
      <c r="T79" s="155"/>
      <c r="U79" s="149"/>
      <c r="V79" s="326"/>
      <c r="W79" s="326"/>
      <c r="X79" s="326">
        <f t="shared" si="0"/>
        <v>0</v>
      </c>
    </row>
    <row r="80" spans="1:24" ht="12.75" hidden="1" customHeight="1">
      <c r="A80" s="334"/>
      <c r="C80" s="381"/>
      <c r="E80" s="148"/>
      <c r="I80" s="143"/>
      <c r="K80" s="144"/>
      <c r="L80" s="407"/>
      <c r="M80" s="151"/>
      <c r="N80" s="152"/>
      <c r="O80" s="153"/>
      <c r="P80" s="310"/>
      <c r="Q80" s="154"/>
      <c r="R80" s="148"/>
      <c r="S80" s="148"/>
      <c r="T80" s="155"/>
      <c r="U80" s="149"/>
      <c r="V80" s="326"/>
      <c r="W80" s="326"/>
      <c r="X80" s="326">
        <f t="shared" si="0"/>
        <v>0</v>
      </c>
    </row>
    <row r="81" spans="1:24" ht="12.75" customHeight="1">
      <c r="A81" s="335"/>
      <c r="B81" s="156"/>
      <c r="C81" s="157"/>
      <c r="D81" s="158"/>
      <c r="E81" s="159"/>
      <c r="F81" s="160"/>
      <c r="G81" s="161"/>
      <c r="H81" s="160"/>
      <c r="I81" s="162"/>
      <c r="J81" s="161"/>
      <c r="K81" s="163"/>
      <c r="Q81" s="176"/>
      <c r="R81" s="148"/>
      <c r="S81" s="148"/>
      <c r="T81" s="155"/>
      <c r="U81" s="149"/>
      <c r="V81" s="326"/>
      <c r="W81" s="326"/>
      <c r="X81" s="326">
        <f t="shared" si="0"/>
        <v>0</v>
      </c>
    </row>
    <row r="82" spans="1:24" ht="12.75" customHeight="1">
      <c r="A82" s="337">
        <f>A77+1</f>
        <v>14</v>
      </c>
      <c r="B82" s="91" t="s">
        <v>27</v>
      </c>
      <c r="C82" s="388" t="s">
        <v>153</v>
      </c>
      <c r="D82" s="141" t="s">
        <v>29</v>
      </c>
      <c r="E82" s="100">
        <v>180</v>
      </c>
      <c r="F82" s="6"/>
      <c r="G82" s="2">
        <v>0</v>
      </c>
      <c r="H82" s="6"/>
      <c r="I82" s="24"/>
      <c r="J82" s="2">
        <v>0</v>
      </c>
      <c r="K82" s="25"/>
      <c r="L82" s="39"/>
      <c r="M82" s="40"/>
      <c r="N82" s="41"/>
      <c r="O82" s="41"/>
      <c r="P82" s="14"/>
      <c r="Q82" s="43"/>
      <c r="R82" s="22">
        <f>G83+J83</f>
        <v>0</v>
      </c>
      <c r="S82" s="387">
        <f>R82+R83</f>
        <v>0.11413647000000003</v>
      </c>
      <c r="T82" s="389">
        <f>E82*S82</f>
        <v>20.544564600000005</v>
      </c>
      <c r="U82" s="149"/>
      <c r="V82" s="326"/>
      <c r="W82" s="326"/>
      <c r="X82" s="326">
        <f t="shared" si="0"/>
        <v>0</v>
      </c>
    </row>
    <row r="83" spans="1:24" ht="12" customHeight="1">
      <c r="A83" s="338"/>
      <c r="B83" s="249"/>
      <c r="C83" s="384"/>
      <c r="D83" s="23"/>
      <c r="E83" s="100"/>
      <c r="F83" s="6"/>
      <c r="G83" s="15">
        <f>G82*$J$10/1000</f>
        <v>0</v>
      </c>
      <c r="H83" s="6"/>
      <c r="I83" s="24"/>
      <c r="J83" s="15">
        <f>J82*$Q$10/1000</f>
        <v>0</v>
      </c>
      <c r="K83" s="25"/>
      <c r="L83" s="390" t="s">
        <v>73</v>
      </c>
      <c r="M83" s="46" t="s">
        <v>36</v>
      </c>
      <c r="N83" s="47">
        <v>1</v>
      </c>
      <c r="O83" s="84">
        <f>E82*N83</f>
        <v>180</v>
      </c>
      <c r="P83" s="311">
        <v>0.1</v>
      </c>
      <c r="Q83" s="147">
        <f>N83*P83*$N$12</f>
        <v>0.11413647000000003</v>
      </c>
      <c r="R83" s="100">
        <f>SUM(Q83:Q83)</f>
        <v>0.11413647000000003</v>
      </c>
      <c r="S83" s="385"/>
      <c r="T83" s="386"/>
      <c r="U83" s="149"/>
      <c r="V83" s="326"/>
      <c r="W83" s="326"/>
      <c r="X83" s="326">
        <f t="shared" si="0"/>
        <v>0</v>
      </c>
    </row>
    <row r="84" spans="1:24" ht="12.75" hidden="1" customHeight="1">
      <c r="A84" s="338"/>
      <c r="B84" s="249"/>
      <c r="C84" s="384"/>
      <c r="D84" s="23"/>
      <c r="E84" s="100"/>
      <c r="F84" s="6"/>
      <c r="G84" s="2"/>
      <c r="H84" s="6"/>
      <c r="I84" s="24"/>
      <c r="J84" s="2"/>
      <c r="K84" s="25"/>
      <c r="L84" s="402"/>
      <c r="M84" s="178"/>
      <c r="N84" s="179"/>
      <c r="O84" s="179"/>
      <c r="P84" s="312"/>
      <c r="Q84" s="180"/>
      <c r="R84" s="100"/>
      <c r="S84" s="100"/>
      <c r="T84" s="27"/>
      <c r="U84" s="149"/>
      <c r="V84" s="326"/>
      <c r="W84" s="326"/>
      <c r="X84" s="326">
        <f t="shared" si="0"/>
        <v>0</v>
      </c>
    </row>
    <row r="85" spans="1:24" ht="12.75" customHeight="1">
      <c r="A85" s="339"/>
      <c r="B85" s="28"/>
      <c r="C85" s="29"/>
      <c r="D85" s="30"/>
      <c r="E85" s="88"/>
      <c r="F85" s="31"/>
      <c r="G85" s="32"/>
      <c r="H85" s="31"/>
      <c r="I85" s="33"/>
      <c r="J85" s="32"/>
      <c r="K85" s="34"/>
      <c r="L85" s="3"/>
      <c r="M85" s="1"/>
      <c r="N85" s="4"/>
      <c r="O85" s="4"/>
      <c r="P85" s="6"/>
      <c r="Q85" s="26"/>
      <c r="R85" s="100"/>
      <c r="S85" s="100"/>
      <c r="T85" s="27"/>
      <c r="U85" s="149"/>
      <c r="V85" s="326"/>
      <c r="W85" s="326"/>
      <c r="X85" s="326">
        <f t="shared" si="0"/>
        <v>0</v>
      </c>
    </row>
    <row r="86" spans="1:24" s="45" customFormat="1" ht="12.75" customHeight="1">
      <c r="A86" s="337">
        <f>A82+1</f>
        <v>15</v>
      </c>
      <c r="B86" s="91" t="s">
        <v>102</v>
      </c>
      <c r="C86" s="388" t="s">
        <v>99</v>
      </c>
      <c r="D86" s="23" t="s">
        <v>31</v>
      </c>
      <c r="E86" s="100">
        <v>2.4</v>
      </c>
      <c r="F86" s="6"/>
      <c r="G86" s="2">
        <v>0.54</v>
      </c>
      <c r="H86" s="6"/>
      <c r="I86" s="24"/>
      <c r="J86" s="2">
        <v>0.06</v>
      </c>
      <c r="K86" s="25"/>
      <c r="L86" s="39"/>
      <c r="M86" s="40"/>
      <c r="N86" s="41"/>
      <c r="O86" s="41"/>
      <c r="P86" s="14"/>
      <c r="Q86" s="43"/>
      <c r="R86" s="22">
        <f>G87+J87</f>
        <v>1.1826132</v>
      </c>
      <c r="S86" s="387">
        <f>R86+R87</f>
        <v>3.8990611860000004</v>
      </c>
      <c r="T86" s="389">
        <f>E86*S86</f>
        <v>9.3577468464000013</v>
      </c>
      <c r="U86" s="249"/>
      <c r="V86" s="326"/>
      <c r="W86" s="326"/>
      <c r="X86" s="326">
        <f t="shared" si="0"/>
        <v>0</v>
      </c>
    </row>
    <row r="87" spans="1:24" s="45" customFormat="1" ht="11.25" customHeight="1">
      <c r="A87" s="338"/>
      <c r="B87" s="91"/>
      <c r="C87" s="384"/>
      <c r="D87" s="23"/>
      <c r="E87" s="100"/>
      <c r="F87" s="6"/>
      <c r="G87" s="131">
        <f>G86*$J$14/1000</f>
        <v>1.0270206</v>
      </c>
      <c r="H87" s="142"/>
      <c r="I87" s="143"/>
      <c r="J87" s="131">
        <f>J86*$Q$14/1000</f>
        <v>0.1555926</v>
      </c>
      <c r="K87" s="25"/>
      <c r="L87" s="390" t="s">
        <v>114</v>
      </c>
      <c r="M87" s="46" t="s">
        <v>31</v>
      </c>
      <c r="N87" s="47">
        <v>1</v>
      </c>
      <c r="O87" s="84">
        <f>E86*N87</f>
        <v>2.4</v>
      </c>
      <c r="P87" s="311">
        <v>2.38</v>
      </c>
      <c r="Q87" s="184">
        <f>N87*P87*$N$12</f>
        <v>2.7164479860000004</v>
      </c>
      <c r="R87" s="100">
        <f>SUM(Q87:Q87)</f>
        <v>2.7164479860000004</v>
      </c>
      <c r="S87" s="385"/>
      <c r="T87" s="386"/>
      <c r="U87" s="249"/>
      <c r="V87" s="326"/>
      <c r="W87" s="326"/>
      <c r="X87" s="326">
        <f t="shared" si="0"/>
        <v>0</v>
      </c>
    </row>
    <row r="88" spans="1:24" s="45" customFormat="1" ht="12.75" hidden="1" customHeight="1">
      <c r="A88" s="338"/>
      <c r="B88" s="249"/>
      <c r="C88" s="384"/>
      <c r="D88" s="23"/>
      <c r="E88" s="100"/>
      <c r="F88" s="6"/>
      <c r="G88" s="2"/>
      <c r="H88" s="6"/>
      <c r="I88" s="24"/>
      <c r="J88" s="2"/>
      <c r="K88" s="25"/>
      <c r="L88" s="391"/>
      <c r="M88" s="185"/>
      <c r="N88" s="186"/>
      <c r="O88" s="186"/>
      <c r="P88" s="314"/>
      <c r="Q88" s="187"/>
      <c r="R88" s="100"/>
      <c r="S88" s="100"/>
      <c r="T88" s="27"/>
      <c r="U88" s="249"/>
      <c r="V88" s="326"/>
      <c r="W88" s="326"/>
      <c r="X88" s="326">
        <f t="shared" si="0"/>
        <v>0</v>
      </c>
    </row>
    <row r="89" spans="1:24" s="45" customFormat="1" ht="12.75" customHeight="1">
      <c r="A89" s="339"/>
      <c r="B89" s="28"/>
      <c r="C89" s="29"/>
      <c r="D89" s="30"/>
      <c r="E89" s="88"/>
      <c r="F89" s="31"/>
      <c r="G89" s="32"/>
      <c r="H89" s="31"/>
      <c r="I89" s="33"/>
      <c r="J89" s="32"/>
      <c r="K89" s="34"/>
      <c r="L89" s="3"/>
      <c r="M89" s="1"/>
      <c r="N89" s="4"/>
      <c r="O89" s="4"/>
      <c r="P89" s="6"/>
      <c r="Q89" s="26"/>
      <c r="R89" s="100"/>
      <c r="S89" s="100"/>
      <c r="T89" s="27"/>
      <c r="U89" s="249"/>
      <c r="V89" s="326"/>
      <c r="W89" s="326"/>
      <c r="X89" s="326">
        <f t="shared" si="0"/>
        <v>0</v>
      </c>
    </row>
    <row r="90" spans="1:24" s="45" customFormat="1" ht="12.75" customHeight="1">
      <c r="A90" s="337">
        <f>A86+1</f>
        <v>16</v>
      </c>
      <c r="B90" s="91" t="s">
        <v>103</v>
      </c>
      <c r="C90" s="388" t="s">
        <v>100</v>
      </c>
      <c r="D90" s="23" t="s">
        <v>31</v>
      </c>
      <c r="E90" s="100">
        <v>12.2</v>
      </c>
      <c r="F90" s="6"/>
      <c r="G90" s="2">
        <v>0.96</v>
      </c>
      <c r="H90" s="6"/>
      <c r="I90" s="24"/>
      <c r="J90" s="2">
        <v>0.02</v>
      </c>
      <c r="K90" s="25"/>
      <c r="L90" s="39"/>
      <c r="M90" s="40"/>
      <c r="N90" s="41"/>
      <c r="O90" s="41"/>
      <c r="P90" s="14"/>
      <c r="Q90" s="43"/>
      <c r="R90" s="22">
        <f>G91+J91</f>
        <v>1.8776786000000001</v>
      </c>
      <c r="S90" s="387">
        <f>R90+R91</f>
        <v>5.688695333300001</v>
      </c>
      <c r="T90" s="389">
        <f>E90*S90</f>
        <v>69.402083066260005</v>
      </c>
      <c r="U90" s="249"/>
      <c r="V90" s="326"/>
      <c r="W90" s="326"/>
      <c r="X90" s="326">
        <f t="shared" si="0"/>
        <v>0</v>
      </c>
    </row>
    <row r="91" spans="1:24" s="45" customFormat="1" ht="12.75" customHeight="1">
      <c r="A91" s="338"/>
      <c r="B91" s="91" t="s">
        <v>65</v>
      </c>
      <c r="C91" s="384"/>
      <c r="D91" s="23"/>
      <c r="E91" s="100"/>
      <c r="F91" s="6"/>
      <c r="G91" s="131">
        <f>G90*$J$14/1000</f>
        <v>1.8258144000000001</v>
      </c>
      <c r="H91" s="142"/>
      <c r="I91" s="143"/>
      <c r="J91" s="131">
        <f>J90*$Q$14/1000</f>
        <v>5.1864200000000006E-2</v>
      </c>
      <c r="K91" s="25"/>
      <c r="L91" s="390" t="s">
        <v>101</v>
      </c>
      <c r="M91" s="46" t="s">
        <v>31</v>
      </c>
      <c r="N91" s="47">
        <v>1</v>
      </c>
      <c r="O91" s="84">
        <f>E90*N91</f>
        <v>12.2</v>
      </c>
      <c r="P91" s="311">
        <v>3.339</v>
      </c>
      <c r="Q91" s="184">
        <f>N91*P91*$N$12</f>
        <v>3.8110167333000007</v>
      </c>
      <c r="R91" s="100">
        <f>SUM(Q91:Q91)</f>
        <v>3.8110167333000007</v>
      </c>
      <c r="S91" s="385"/>
      <c r="T91" s="386"/>
      <c r="U91" s="249"/>
      <c r="V91" s="326"/>
      <c r="W91" s="326"/>
      <c r="X91" s="326">
        <f t="shared" si="0"/>
        <v>0</v>
      </c>
    </row>
    <row r="92" spans="1:24" s="45" customFormat="1" ht="2.25" customHeight="1">
      <c r="A92" s="338"/>
      <c r="B92" s="249"/>
      <c r="C92" s="384"/>
      <c r="D92" s="23"/>
      <c r="E92" s="100"/>
      <c r="F92" s="6"/>
      <c r="G92" s="2"/>
      <c r="H92" s="6"/>
      <c r="I92" s="24"/>
      <c r="J92" s="2"/>
      <c r="K92" s="25"/>
      <c r="L92" s="391"/>
      <c r="M92" s="185"/>
      <c r="N92" s="186"/>
      <c r="O92" s="186"/>
      <c r="P92" s="314"/>
      <c r="Q92" s="187"/>
      <c r="R92" s="100"/>
      <c r="S92" s="100"/>
      <c r="T92" s="27"/>
      <c r="U92" s="249"/>
      <c r="V92" s="326"/>
      <c r="W92" s="326"/>
      <c r="X92" s="326">
        <f t="shared" ref="W92:X155" si="1">F92*W92</f>
        <v>0</v>
      </c>
    </row>
    <row r="93" spans="1:24" ht="12" hidden="1" customHeight="1">
      <c r="A93" s="338"/>
      <c r="B93" s="249"/>
      <c r="C93" s="384"/>
      <c r="D93" s="23"/>
      <c r="E93" s="100"/>
      <c r="F93" s="6"/>
      <c r="G93" s="2"/>
      <c r="H93" s="6"/>
      <c r="I93" s="24"/>
      <c r="J93" s="2"/>
      <c r="K93" s="25"/>
      <c r="L93" s="391"/>
      <c r="M93" s="185"/>
      <c r="N93" s="186"/>
      <c r="O93" s="186"/>
      <c r="P93" s="314"/>
      <c r="Q93" s="187"/>
      <c r="R93" s="100"/>
      <c r="S93" s="100"/>
      <c r="T93" s="27"/>
      <c r="U93" s="149"/>
      <c r="V93" s="326"/>
      <c r="W93" s="326"/>
      <c r="X93" s="326">
        <f t="shared" si="1"/>
        <v>0</v>
      </c>
    </row>
    <row r="94" spans="1:24" ht="12.75" hidden="1" customHeight="1">
      <c r="A94" s="338"/>
      <c r="B94" s="249"/>
      <c r="C94" s="384"/>
      <c r="D94" s="23"/>
      <c r="E94" s="100"/>
      <c r="F94" s="6"/>
      <c r="G94" s="2"/>
      <c r="H94" s="6"/>
      <c r="I94" s="24"/>
      <c r="J94" s="2"/>
      <c r="K94" s="25"/>
      <c r="L94" s="391"/>
      <c r="M94" s="185"/>
      <c r="N94" s="186"/>
      <c r="O94" s="186"/>
      <c r="P94" s="314"/>
      <c r="Q94" s="187"/>
      <c r="R94" s="100"/>
      <c r="S94" s="100"/>
      <c r="T94" s="27"/>
      <c r="U94" s="149"/>
      <c r="V94" s="326"/>
      <c r="W94" s="326"/>
      <c r="X94" s="326">
        <f t="shared" si="1"/>
        <v>0</v>
      </c>
    </row>
    <row r="95" spans="1:24" ht="12.75" customHeight="1">
      <c r="A95" s="339"/>
      <c r="B95" s="28"/>
      <c r="C95" s="29"/>
      <c r="D95" s="30"/>
      <c r="E95" s="88"/>
      <c r="F95" s="31"/>
      <c r="G95" s="32"/>
      <c r="H95" s="31"/>
      <c r="I95" s="33"/>
      <c r="J95" s="32"/>
      <c r="K95" s="34"/>
      <c r="L95" s="3"/>
      <c r="M95" s="1"/>
      <c r="N95" s="4"/>
      <c r="O95" s="4"/>
      <c r="P95" s="6"/>
      <c r="Q95" s="26"/>
      <c r="R95" s="100"/>
      <c r="S95" s="100"/>
      <c r="T95" s="27"/>
      <c r="U95" s="149"/>
      <c r="V95" s="326"/>
      <c r="W95" s="326"/>
      <c r="X95" s="326">
        <f t="shared" si="1"/>
        <v>0</v>
      </c>
    </row>
    <row r="96" spans="1:24" s="201" customFormat="1" ht="12.75" customHeight="1">
      <c r="A96" s="340">
        <f>A90+1</f>
        <v>17</v>
      </c>
      <c r="B96" s="341" t="s">
        <v>56</v>
      </c>
      <c r="C96" s="400" t="s">
        <v>57</v>
      </c>
      <c r="D96" s="342" t="s">
        <v>24</v>
      </c>
      <c r="E96" s="206">
        <f>(E86*0.1)*3.14/100</f>
        <v>7.5360000000000002E-3</v>
      </c>
      <c r="F96" s="319"/>
      <c r="G96" s="194">
        <v>38.4</v>
      </c>
      <c r="H96" s="319"/>
      <c r="I96" s="193"/>
      <c r="J96" s="194">
        <v>0.03</v>
      </c>
      <c r="K96" s="195"/>
      <c r="L96" s="196"/>
      <c r="M96" s="197"/>
      <c r="N96" s="198"/>
      <c r="O96" s="198"/>
      <c r="P96" s="317"/>
      <c r="Q96" s="199"/>
      <c r="R96" s="200">
        <f>G97+J97</f>
        <v>73.110372300000009</v>
      </c>
      <c r="S96" s="374">
        <f>R96+R97</f>
        <v>104.89281373620001</v>
      </c>
      <c r="T96" s="376">
        <f>E96*S96</f>
        <v>0.79047224431600327</v>
      </c>
      <c r="U96" s="343"/>
      <c r="V96" s="326"/>
      <c r="W96" s="326"/>
      <c r="X96" s="326">
        <f t="shared" si="1"/>
        <v>0</v>
      </c>
    </row>
    <row r="97" spans="1:24" s="201" customFormat="1" ht="12" customHeight="1">
      <c r="A97" s="344"/>
      <c r="B97" s="341" t="s">
        <v>58</v>
      </c>
      <c r="C97" s="401"/>
      <c r="D97" s="342"/>
      <c r="E97" s="206"/>
      <c r="F97" s="319"/>
      <c r="G97" s="131">
        <f>G96*$J$14/1000</f>
        <v>73.032576000000006</v>
      </c>
      <c r="H97" s="142"/>
      <c r="I97" s="143"/>
      <c r="J97" s="131">
        <f>J96*$Q$14/1000</f>
        <v>7.7796299999999999E-2</v>
      </c>
      <c r="K97" s="195"/>
      <c r="L97" s="202" t="s">
        <v>47</v>
      </c>
      <c r="M97" s="203" t="s">
        <v>30</v>
      </c>
      <c r="N97" s="204">
        <v>27.3</v>
      </c>
      <c r="O97" s="205">
        <f>E96*N97</f>
        <v>0.20573280000000002</v>
      </c>
      <c r="P97" s="318">
        <v>1.02</v>
      </c>
      <c r="Q97" s="184">
        <f>N97*P97*$N$12</f>
        <v>31.782441436200006</v>
      </c>
      <c r="R97" s="206">
        <f>SUM(Q97:Q97)</f>
        <v>31.782441436200006</v>
      </c>
      <c r="S97" s="375"/>
      <c r="T97" s="377"/>
      <c r="U97" s="343"/>
      <c r="V97" s="326"/>
      <c r="W97" s="326"/>
      <c r="X97" s="326">
        <f t="shared" si="1"/>
        <v>0</v>
      </c>
    </row>
    <row r="98" spans="1:24" s="201" customFormat="1" ht="12.75" hidden="1" customHeight="1">
      <c r="A98" s="344"/>
      <c r="B98" s="343"/>
      <c r="C98" s="401"/>
      <c r="D98" s="342"/>
      <c r="E98" s="206"/>
      <c r="F98" s="319"/>
      <c r="G98" s="194"/>
      <c r="H98" s="319"/>
      <c r="I98" s="193"/>
      <c r="J98" s="194"/>
      <c r="K98" s="195"/>
      <c r="L98" s="217"/>
      <c r="M98" s="218"/>
      <c r="N98" s="219"/>
      <c r="O98" s="219"/>
      <c r="P98" s="319"/>
      <c r="Q98" s="207"/>
      <c r="R98" s="206"/>
      <c r="S98" s="206"/>
      <c r="T98" s="208"/>
      <c r="U98" s="343"/>
      <c r="V98" s="326"/>
      <c r="W98" s="326"/>
      <c r="X98" s="326">
        <f t="shared" si="1"/>
        <v>0</v>
      </c>
    </row>
    <row r="99" spans="1:24" s="201" customFormat="1" ht="12.75" hidden="1" customHeight="1">
      <c r="A99" s="344"/>
      <c r="B99" s="343"/>
      <c r="C99" s="401"/>
      <c r="D99" s="342"/>
      <c r="E99" s="206"/>
      <c r="F99" s="319"/>
      <c r="G99" s="194"/>
      <c r="H99" s="319"/>
      <c r="I99" s="193"/>
      <c r="J99" s="194"/>
      <c r="K99" s="195"/>
      <c r="L99" s="217"/>
      <c r="M99" s="218"/>
      <c r="N99" s="219"/>
      <c r="O99" s="219"/>
      <c r="P99" s="319"/>
      <c r="Q99" s="207"/>
      <c r="R99" s="206"/>
      <c r="S99" s="206"/>
      <c r="T99" s="208"/>
      <c r="U99" s="343"/>
      <c r="V99" s="326"/>
      <c r="W99" s="326"/>
      <c r="X99" s="326">
        <f t="shared" si="1"/>
        <v>0</v>
      </c>
    </row>
    <row r="100" spans="1:24" s="201" customFormat="1" ht="12.75" customHeight="1">
      <c r="A100" s="345"/>
      <c r="B100" s="209"/>
      <c r="C100" s="210"/>
      <c r="D100" s="211"/>
      <c r="E100" s="212"/>
      <c r="F100" s="213"/>
      <c r="G100" s="214"/>
      <c r="H100" s="213"/>
      <c r="I100" s="215"/>
      <c r="J100" s="214"/>
      <c r="K100" s="216"/>
      <c r="L100" s="217"/>
      <c r="M100" s="218"/>
      <c r="N100" s="219"/>
      <c r="O100" s="219"/>
      <c r="P100" s="319"/>
      <c r="Q100" s="207"/>
      <c r="R100" s="206"/>
      <c r="S100" s="206"/>
      <c r="T100" s="208"/>
      <c r="U100" s="343"/>
      <c r="V100" s="326"/>
      <c r="W100" s="326"/>
      <c r="X100" s="326">
        <f t="shared" si="1"/>
        <v>0</v>
      </c>
    </row>
    <row r="101" spans="1:24" s="45" customFormat="1" ht="12.75" customHeight="1">
      <c r="A101" s="337">
        <f>A96+1</f>
        <v>18</v>
      </c>
      <c r="B101" s="170" t="s">
        <v>53</v>
      </c>
      <c r="C101" s="388" t="s">
        <v>104</v>
      </c>
      <c r="D101" s="141" t="s">
        <v>29</v>
      </c>
      <c r="E101" s="148">
        <v>14</v>
      </c>
      <c r="F101" s="142"/>
      <c r="G101" s="150">
        <v>0.97</v>
      </c>
      <c r="H101" s="142"/>
      <c r="I101" s="143"/>
      <c r="J101" s="150">
        <v>0.13</v>
      </c>
      <c r="K101" s="144"/>
      <c r="L101" s="134"/>
      <c r="M101" s="135"/>
      <c r="N101" s="136"/>
      <c r="O101" s="137"/>
      <c r="P101" s="130"/>
      <c r="Q101" s="138"/>
      <c r="R101" s="139">
        <f>G102+J102</f>
        <v>2.1819506</v>
      </c>
      <c r="S101" s="378">
        <f>R101+R102</f>
        <v>4.4646800000000004</v>
      </c>
      <c r="T101" s="382">
        <f>E101*S101</f>
        <v>62.505520000000004</v>
      </c>
      <c r="U101" s="249"/>
      <c r="V101" s="326"/>
      <c r="W101" s="326"/>
      <c r="X101" s="326">
        <f t="shared" si="1"/>
        <v>0</v>
      </c>
    </row>
    <row r="102" spans="1:24" s="45" customFormat="1" ht="12" customHeight="1">
      <c r="A102" s="334"/>
      <c r="B102" s="170"/>
      <c r="C102" s="384"/>
      <c r="D102" s="141"/>
      <c r="E102" s="148"/>
      <c r="F102" s="142"/>
      <c r="G102" s="131">
        <f>G101*$J$14/1000</f>
        <v>1.8448332999999999</v>
      </c>
      <c r="H102" s="142"/>
      <c r="I102" s="143"/>
      <c r="J102" s="131">
        <f>J101*$Q$14/1000</f>
        <v>0.33711730000000001</v>
      </c>
      <c r="K102" s="144"/>
      <c r="L102" s="181" t="s">
        <v>104</v>
      </c>
      <c r="M102" s="182" t="s">
        <v>29</v>
      </c>
      <c r="N102" s="183">
        <v>1</v>
      </c>
      <c r="O102" s="183">
        <f>E101*N102</f>
        <v>14</v>
      </c>
      <c r="P102" s="313">
        <v>2</v>
      </c>
      <c r="Q102" s="184">
        <f>N102*P102*$N$12</f>
        <v>2.2827294000000005</v>
      </c>
      <c r="R102" s="148">
        <f>SUM(Q102:Q102)</f>
        <v>2.2827294000000005</v>
      </c>
      <c r="S102" s="379"/>
      <c r="T102" s="383"/>
      <c r="U102" s="249"/>
      <c r="V102" s="326"/>
      <c r="W102" s="326"/>
      <c r="X102" s="326">
        <f t="shared" si="1"/>
        <v>0</v>
      </c>
    </row>
    <row r="103" spans="1:24" s="45" customFormat="1" ht="12.75" hidden="1" customHeight="1">
      <c r="A103" s="334"/>
      <c r="B103" s="149"/>
      <c r="C103" s="384"/>
      <c r="D103" s="141"/>
      <c r="E103" s="148"/>
      <c r="F103" s="142"/>
      <c r="G103" s="150"/>
      <c r="H103" s="142"/>
      <c r="I103" s="143"/>
      <c r="J103" s="150"/>
      <c r="K103" s="144"/>
      <c r="L103" s="172"/>
      <c r="M103" s="173"/>
      <c r="N103" s="174"/>
      <c r="O103" s="175"/>
      <c r="P103" s="142"/>
      <c r="Q103" s="176"/>
      <c r="R103" s="148"/>
      <c r="S103" s="148"/>
      <c r="T103" s="155"/>
      <c r="U103" s="249"/>
      <c r="V103" s="326"/>
      <c r="W103" s="326"/>
      <c r="X103" s="326">
        <f t="shared" si="1"/>
        <v>0</v>
      </c>
    </row>
    <row r="104" spans="1:24" s="45" customFormat="1" ht="12.75" customHeight="1">
      <c r="A104" s="335"/>
      <c r="B104" s="156"/>
      <c r="C104" s="157"/>
      <c r="D104" s="158"/>
      <c r="E104" s="159"/>
      <c r="F104" s="160"/>
      <c r="G104" s="161"/>
      <c r="H104" s="160"/>
      <c r="I104" s="162"/>
      <c r="J104" s="161"/>
      <c r="K104" s="163"/>
      <c r="L104" s="172"/>
      <c r="M104" s="173"/>
      <c r="N104" s="174"/>
      <c r="O104" s="175"/>
      <c r="P104" s="142"/>
      <c r="Q104" s="176"/>
      <c r="R104" s="148"/>
      <c r="S104" s="148"/>
      <c r="T104" s="155"/>
      <c r="U104" s="249"/>
      <c r="V104" s="326"/>
      <c r="W104" s="326"/>
      <c r="X104" s="326">
        <f t="shared" si="1"/>
        <v>0</v>
      </c>
    </row>
    <row r="105" spans="1:24" s="45" customFormat="1" ht="12.75" customHeight="1">
      <c r="A105" s="337">
        <f>A101+1</f>
        <v>19</v>
      </c>
      <c r="B105" s="170" t="s">
        <v>53</v>
      </c>
      <c r="C105" s="388" t="s">
        <v>105</v>
      </c>
      <c r="D105" s="141" t="s">
        <v>29</v>
      </c>
      <c r="E105" s="148">
        <v>4</v>
      </c>
      <c r="F105" s="142"/>
      <c r="G105" s="150">
        <v>0.97</v>
      </c>
      <c r="H105" s="142"/>
      <c r="I105" s="143"/>
      <c r="J105" s="150">
        <v>0.13</v>
      </c>
      <c r="K105" s="144"/>
      <c r="L105" s="134"/>
      <c r="M105" s="135"/>
      <c r="N105" s="136"/>
      <c r="O105" s="137"/>
      <c r="P105" s="130"/>
      <c r="Q105" s="138"/>
      <c r="R105" s="139">
        <f>G106+J106</f>
        <v>2.1819506</v>
      </c>
      <c r="S105" s="378">
        <f>R105+R106</f>
        <v>4.4646800000000004</v>
      </c>
      <c r="T105" s="382">
        <f>E105*S105</f>
        <v>17.858720000000002</v>
      </c>
      <c r="U105" s="249"/>
      <c r="V105" s="326"/>
      <c r="W105" s="326"/>
      <c r="X105" s="326">
        <f t="shared" si="1"/>
        <v>0</v>
      </c>
    </row>
    <row r="106" spans="1:24" s="45" customFormat="1" ht="11.25" customHeight="1">
      <c r="A106" s="334"/>
      <c r="B106" s="170"/>
      <c r="C106" s="384"/>
      <c r="D106" s="141"/>
      <c r="E106" s="148"/>
      <c r="F106" s="142"/>
      <c r="G106" s="131">
        <f>G105*$J$14/1000</f>
        <v>1.8448332999999999</v>
      </c>
      <c r="H106" s="142"/>
      <c r="I106" s="143"/>
      <c r="J106" s="131">
        <f>J105*$Q$14/1000</f>
        <v>0.33711730000000001</v>
      </c>
      <c r="K106" s="144"/>
      <c r="L106" s="181" t="s">
        <v>105</v>
      </c>
      <c r="M106" s="182" t="s">
        <v>29</v>
      </c>
      <c r="N106" s="183">
        <v>1</v>
      </c>
      <c r="O106" s="183">
        <f>E105*N106</f>
        <v>4</v>
      </c>
      <c r="P106" s="313">
        <v>2</v>
      </c>
      <c r="Q106" s="184">
        <f>N106*P106*$N$12</f>
        <v>2.2827294000000005</v>
      </c>
      <c r="R106" s="148">
        <f>SUM(Q106:Q106)</f>
        <v>2.2827294000000005</v>
      </c>
      <c r="S106" s="379"/>
      <c r="T106" s="383"/>
      <c r="U106" s="249"/>
      <c r="V106" s="326"/>
      <c r="W106" s="326"/>
      <c r="X106" s="326">
        <f t="shared" si="1"/>
        <v>0</v>
      </c>
    </row>
    <row r="107" spans="1:24" s="45" customFormat="1" ht="12.75" hidden="1" customHeight="1">
      <c r="A107" s="334"/>
      <c r="B107" s="149"/>
      <c r="C107" s="384"/>
      <c r="D107" s="141"/>
      <c r="E107" s="148"/>
      <c r="F107" s="142"/>
      <c r="G107" s="150"/>
      <c r="H107" s="142"/>
      <c r="I107" s="143"/>
      <c r="J107" s="150"/>
      <c r="K107" s="144"/>
      <c r="L107" s="172"/>
      <c r="M107" s="173"/>
      <c r="N107" s="174"/>
      <c r="O107" s="175"/>
      <c r="P107" s="142"/>
      <c r="Q107" s="176"/>
      <c r="R107" s="148"/>
      <c r="S107" s="148"/>
      <c r="T107" s="155"/>
      <c r="U107" s="249"/>
      <c r="V107" s="326"/>
      <c r="W107" s="326"/>
      <c r="X107" s="326">
        <f t="shared" si="1"/>
        <v>0</v>
      </c>
    </row>
    <row r="108" spans="1:24" s="45" customFormat="1" ht="12.75" customHeight="1">
      <c r="A108" s="335"/>
      <c r="B108" s="156"/>
      <c r="C108" s="157"/>
      <c r="D108" s="158"/>
      <c r="E108" s="159"/>
      <c r="F108" s="160"/>
      <c r="G108" s="161"/>
      <c r="H108" s="160"/>
      <c r="I108" s="162"/>
      <c r="J108" s="161"/>
      <c r="K108" s="163"/>
      <c r="L108" s="172"/>
      <c r="M108" s="173"/>
      <c r="N108" s="174"/>
      <c r="O108" s="175"/>
      <c r="P108" s="142"/>
      <c r="Q108" s="176"/>
      <c r="R108" s="148"/>
      <c r="S108" s="148"/>
      <c r="T108" s="155"/>
      <c r="U108" s="249"/>
      <c r="V108" s="326"/>
      <c r="W108" s="326"/>
      <c r="X108" s="326">
        <f t="shared" si="1"/>
        <v>0</v>
      </c>
    </row>
    <row r="109" spans="1:24" s="45" customFormat="1" ht="12.75" customHeight="1">
      <c r="A109" s="337">
        <f>A105+1</f>
        <v>20</v>
      </c>
      <c r="B109" s="170" t="s">
        <v>53</v>
      </c>
      <c r="C109" s="388" t="s">
        <v>89</v>
      </c>
      <c r="D109" s="141" t="s">
        <v>29</v>
      </c>
      <c r="E109" s="148">
        <v>4</v>
      </c>
      <c r="F109" s="142"/>
      <c r="G109" s="150">
        <v>0.97</v>
      </c>
      <c r="H109" s="142"/>
      <c r="I109" s="143"/>
      <c r="J109" s="150">
        <v>0.13</v>
      </c>
      <c r="K109" s="144"/>
      <c r="L109" s="134"/>
      <c r="M109" s="135"/>
      <c r="N109" s="136"/>
      <c r="O109" s="137"/>
      <c r="P109" s="130"/>
      <c r="Q109" s="138"/>
      <c r="R109" s="139">
        <f>G110+J110</f>
        <v>2.1819506</v>
      </c>
      <c r="S109" s="378">
        <f>R109+R110</f>
        <v>8.6877293900000012</v>
      </c>
      <c r="T109" s="382">
        <f>E109*S109</f>
        <v>34.750917560000005</v>
      </c>
      <c r="U109" s="249"/>
      <c r="V109" s="326"/>
      <c r="W109" s="326"/>
      <c r="X109" s="326">
        <f t="shared" si="1"/>
        <v>0</v>
      </c>
    </row>
    <row r="110" spans="1:24" s="45" customFormat="1" ht="11.25" customHeight="1">
      <c r="A110" s="334"/>
      <c r="B110" s="170"/>
      <c r="C110" s="384"/>
      <c r="D110" s="141"/>
      <c r="E110" s="148"/>
      <c r="F110" s="142"/>
      <c r="G110" s="131">
        <f>G109*$J$14/1000</f>
        <v>1.8448332999999999</v>
      </c>
      <c r="H110" s="142"/>
      <c r="I110" s="143"/>
      <c r="J110" s="131">
        <f>J109*$Q$14/1000</f>
        <v>0.33711730000000001</v>
      </c>
      <c r="K110" s="144"/>
      <c r="L110" s="181" t="s">
        <v>90</v>
      </c>
      <c r="M110" s="182" t="s">
        <v>29</v>
      </c>
      <c r="N110" s="183">
        <v>1</v>
      </c>
      <c r="O110" s="183">
        <f>E109*N110</f>
        <v>4</v>
      </c>
      <c r="P110" s="313">
        <v>5.7</v>
      </c>
      <c r="Q110" s="184">
        <f>N110*P110*$N$12</f>
        <v>6.5057787900000017</v>
      </c>
      <c r="R110" s="148">
        <f>SUM(Q110:Q110)</f>
        <v>6.5057787900000017</v>
      </c>
      <c r="S110" s="379"/>
      <c r="T110" s="383"/>
      <c r="U110" s="249"/>
      <c r="V110" s="326"/>
      <c r="W110" s="326"/>
      <c r="X110" s="326">
        <f t="shared" si="1"/>
        <v>0</v>
      </c>
    </row>
    <row r="111" spans="1:24" s="45" customFormat="1" ht="12.75" hidden="1" customHeight="1">
      <c r="A111" s="334"/>
      <c r="B111" s="149"/>
      <c r="C111" s="384"/>
      <c r="D111" s="141"/>
      <c r="E111" s="148"/>
      <c r="F111" s="142"/>
      <c r="G111" s="150"/>
      <c r="H111" s="142"/>
      <c r="I111" s="143"/>
      <c r="J111" s="150"/>
      <c r="K111" s="144"/>
      <c r="L111" s="172"/>
      <c r="M111" s="173"/>
      <c r="N111" s="174"/>
      <c r="O111" s="175"/>
      <c r="P111" s="142"/>
      <c r="Q111" s="176"/>
      <c r="R111" s="148"/>
      <c r="S111" s="148"/>
      <c r="T111" s="155"/>
      <c r="U111" s="249"/>
      <c r="V111" s="326"/>
      <c r="W111" s="326"/>
      <c r="X111" s="326">
        <f t="shared" si="1"/>
        <v>0</v>
      </c>
    </row>
    <row r="112" spans="1:24" s="45" customFormat="1" ht="12.75" customHeight="1">
      <c r="A112" s="335"/>
      <c r="B112" s="156"/>
      <c r="C112" s="157"/>
      <c r="D112" s="158"/>
      <c r="E112" s="159"/>
      <c r="F112" s="160"/>
      <c r="G112" s="161"/>
      <c r="H112" s="160"/>
      <c r="I112" s="162"/>
      <c r="J112" s="161"/>
      <c r="K112" s="163"/>
      <c r="L112" s="172"/>
      <c r="M112" s="173"/>
      <c r="N112" s="174"/>
      <c r="O112" s="175"/>
      <c r="P112" s="142"/>
      <c r="Q112" s="176"/>
      <c r="R112" s="148"/>
      <c r="S112" s="148"/>
      <c r="T112" s="155"/>
      <c r="U112" s="249"/>
      <c r="V112" s="326"/>
      <c r="W112" s="326"/>
      <c r="X112" s="326">
        <f t="shared" si="1"/>
        <v>0</v>
      </c>
    </row>
    <row r="113" spans="1:24" s="45" customFormat="1" ht="12.75" customHeight="1">
      <c r="A113" s="337">
        <f>A109+1</f>
        <v>21</v>
      </c>
      <c r="B113" s="170" t="s">
        <v>53</v>
      </c>
      <c r="C113" s="388" t="s">
        <v>106</v>
      </c>
      <c r="D113" s="141" t="s">
        <v>29</v>
      </c>
      <c r="E113" s="148">
        <v>5</v>
      </c>
      <c r="F113" s="142"/>
      <c r="G113" s="150">
        <v>0.97</v>
      </c>
      <c r="H113" s="142"/>
      <c r="I113" s="143"/>
      <c r="J113" s="150">
        <v>0.13</v>
      </c>
      <c r="K113" s="144"/>
      <c r="L113" s="134"/>
      <c r="M113" s="135"/>
      <c r="N113" s="136"/>
      <c r="O113" s="137"/>
      <c r="P113" s="130"/>
      <c r="Q113" s="138"/>
      <c r="R113" s="139">
        <f>G114+J114</f>
        <v>2.1819506</v>
      </c>
      <c r="S113" s="378">
        <f>R113+R114</f>
        <v>7.0898188100000006</v>
      </c>
      <c r="T113" s="382">
        <f>E113*S113</f>
        <v>35.449094049999999</v>
      </c>
      <c r="U113" s="249"/>
      <c r="V113" s="326"/>
      <c r="W113" s="326"/>
      <c r="X113" s="326">
        <f t="shared" si="1"/>
        <v>0</v>
      </c>
    </row>
    <row r="114" spans="1:24" s="45" customFormat="1" ht="10.5" customHeight="1">
      <c r="A114" s="334"/>
      <c r="B114" s="170"/>
      <c r="C114" s="384"/>
      <c r="D114" s="141"/>
      <c r="E114" s="148"/>
      <c r="F114" s="142"/>
      <c r="G114" s="131">
        <f>G113*$J$14/1000</f>
        <v>1.8448332999999999</v>
      </c>
      <c r="H114" s="142"/>
      <c r="I114" s="143"/>
      <c r="J114" s="131">
        <f>J113*$Q$14/1000</f>
        <v>0.33711730000000001</v>
      </c>
      <c r="K114" s="144"/>
      <c r="L114" s="181" t="s">
        <v>107</v>
      </c>
      <c r="M114" s="182" t="s">
        <v>29</v>
      </c>
      <c r="N114" s="183">
        <v>1</v>
      </c>
      <c r="O114" s="183">
        <f>E113*N114</f>
        <v>5</v>
      </c>
      <c r="P114" s="313">
        <v>4.3</v>
      </c>
      <c r="Q114" s="184">
        <f>N114*P114*$N$12</f>
        <v>4.9078682100000011</v>
      </c>
      <c r="R114" s="148">
        <f>SUM(Q114:Q114)</f>
        <v>4.9078682100000011</v>
      </c>
      <c r="S114" s="379"/>
      <c r="T114" s="383"/>
      <c r="U114" s="249"/>
      <c r="V114" s="326"/>
      <c r="W114" s="326"/>
      <c r="X114" s="326">
        <f t="shared" si="1"/>
        <v>0</v>
      </c>
    </row>
    <row r="115" spans="1:24" s="45" customFormat="1" ht="12.75" hidden="1" customHeight="1">
      <c r="A115" s="334"/>
      <c r="B115" s="149"/>
      <c r="C115" s="384"/>
      <c r="D115" s="141"/>
      <c r="E115" s="148"/>
      <c r="F115" s="142"/>
      <c r="G115" s="150"/>
      <c r="H115" s="142"/>
      <c r="I115" s="143"/>
      <c r="J115" s="150"/>
      <c r="K115" s="144"/>
      <c r="L115" s="172"/>
      <c r="M115" s="173"/>
      <c r="N115" s="174"/>
      <c r="O115" s="175"/>
      <c r="P115" s="142"/>
      <c r="Q115" s="176"/>
      <c r="R115" s="148"/>
      <c r="S115" s="148"/>
      <c r="T115" s="155"/>
      <c r="U115" s="249"/>
      <c r="V115" s="326"/>
      <c r="W115" s="326"/>
      <c r="X115" s="326">
        <f t="shared" si="1"/>
        <v>0</v>
      </c>
    </row>
    <row r="116" spans="1:24" s="45" customFormat="1" ht="12.75" customHeight="1">
      <c r="A116" s="335"/>
      <c r="B116" s="156"/>
      <c r="C116" s="157"/>
      <c r="D116" s="158"/>
      <c r="E116" s="159"/>
      <c r="F116" s="160"/>
      <c r="G116" s="161"/>
      <c r="H116" s="160"/>
      <c r="I116" s="162"/>
      <c r="J116" s="161"/>
      <c r="K116" s="163"/>
      <c r="L116" s="172"/>
      <c r="M116" s="173"/>
      <c r="N116" s="174"/>
      <c r="O116" s="175"/>
      <c r="P116" s="142"/>
      <c r="Q116" s="176"/>
      <c r="R116" s="148"/>
      <c r="S116" s="148"/>
      <c r="T116" s="155"/>
      <c r="U116" s="249"/>
      <c r="V116" s="326"/>
      <c r="W116" s="326"/>
      <c r="X116" s="326">
        <f t="shared" si="1"/>
        <v>0</v>
      </c>
    </row>
    <row r="117" spans="1:24" s="45" customFormat="1" ht="12.75" customHeight="1">
      <c r="A117" s="333">
        <f>A113+1</f>
        <v>22</v>
      </c>
      <c r="B117" s="90" t="s">
        <v>77</v>
      </c>
      <c r="C117" s="388" t="s">
        <v>91</v>
      </c>
      <c r="D117" s="13" t="s">
        <v>32</v>
      </c>
      <c r="E117" s="96">
        <f>600.8/100</f>
        <v>6.0079999999999991</v>
      </c>
      <c r="F117" s="14"/>
      <c r="G117" s="15">
        <v>3.73</v>
      </c>
      <c r="H117" s="14"/>
      <c r="I117" s="16"/>
      <c r="J117" s="15">
        <v>0</v>
      </c>
      <c r="K117" s="17"/>
      <c r="L117" s="18"/>
      <c r="M117" s="19"/>
      <c r="N117" s="20"/>
      <c r="O117" s="220"/>
      <c r="P117" s="320"/>
      <c r="Q117" s="21"/>
      <c r="R117" s="22">
        <f>G118+J118</f>
        <v>7.0940497000000002</v>
      </c>
      <c r="S117" s="99">
        <f>R117+R118</f>
        <v>7.0940497000000002</v>
      </c>
      <c r="T117" s="101">
        <f>E117*S117</f>
        <v>42.621050597599996</v>
      </c>
      <c r="U117" s="249"/>
      <c r="V117" s="326"/>
      <c r="W117" s="326"/>
      <c r="X117" s="326">
        <f t="shared" si="1"/>
        <v>0</v>
      </c>
    </row>
    <row r="118" spans="1:24" s="45" customFormat="1" ht="16.5" customHeight="1">
      <c r="A118" s="338"/>
      <c r="B118" s="91" t="s">
        <v>62</v>
      </c>
      <c r="C118" s="384"/>
      <c r="D118" s="23"/>
      <c r="E118" s="100"/>
      <c r="F118" s="6"/>
      <c r="G118" s="131">
        <f>G117*$J$14/1000</f>
        <v>7.0940497000000002</v>
      </c>
      <c r="H118" s="142"/>
      <c r="I118" s="143"/>
      <c r="J118" s="131">
        <f>J117*$Q$14/1000</f>
        <v>0</v>
      </c>
      <c r="K118" s="25"/>
      <c r="L118" s="3"/>
      <c r="M118" s="1"/>
      <c r="N118" s="4"/>
      <c r="O118" s="5"/>
      <c r="P118" s="6"/>
      <c r="Q118" s="26"/>
      <c r="R118" s="100"/>
      <c r="S118" s="100"/>
      <c r="T118" s="27"/>
      <c r="U118" s="249"/>
      <c r="V118" s="326"/>
      <c r="W118" s="326"/>
      <c r="X118" s="326">
        <f t="shared" si="1"/>
        <v>0</v>
      </c>
    </row>
    <row r="119" spans="1:24" s="45" customFormat="1" ht="12.75" customHeight="1">
      <c r="A119" s="339"/>
      <c r="B119" s="28"/>
      <c r="C119" s="29"/>
      <c r="D119" s="30"/>
      <c r="E119" s="88"/>
      <c r="F119" s="31"/>
      <c r="G119" s="32"/>
      <c r="H119" s="31"/>
      <c r="I119" s="33"/>
      <c r="J119" s="32"/>
      <c r="K119" s="34"/>
      <c r="L119" s="35"/>
      <c r="M119" s="36"/>
      <c r="N119" s="221"/>
      <c r="O119" s="222"/>
      <c r="P119" s="31"/>
      <c r="Q119" s="37"/>
      <c r="R119" s="88"/>
      <c r="S119" s="88"/>
      <c r="T119" s="38"/>
      <c r="U119" s="249"/>
      <c r="V119" s="326"/>
      <c r="W119" s="326"/>
      <c r="X119" s="326">
        <f t="shared" si="1"/>
        <v>0</v>
      </c>
    </row>
    <row r="120" spans="1:24" s="45" customFormat="1" ht="15.75" customHeight="1">
      <c r="A120" s="337">
        <f>A117+1</f>
        <v>23</v>
      </c>
      <c r="B120" s="90" t="s">
        <v>37</v>
      </c>
      <c r="C120" s="388" t="s">
        <v>92</v>
      </c>
      <c r="D120" s="13" t="s">
        <v>29</v>
      </c>
      <c r="E120" s="99">
        <v>34</v>
      </c>
      <c r="F120" s="14"/>
      <c r="G120" s="15">
        <v>0.85</v>
      </c>
      <c r="H120" s="14"/>
      <c r="I120" s="16"/>
      <c r="J120" s="15">
        <v>0.98000000000000043</v>
      </c>
      <c r="K120" s="17"/>
      <c r="L120" s="18"/>
      <c r="M120" s="19"/>
      <c r="N120" s="20"/>
      <c r="O120" s="20"/>
      <c r="P120" s="320"/>
      <c r="Q120" s="21"/>
      <c r="R120" s="22">
        <f>G121+J121</f>
        <v>4.1579523000000016</v>
      </c>
      <c r="S120" s="99">
        <f>R120+R121</f>
        <v>4.1579523000000016</v>
      </c>
      <c r="T120" s="101">
        <f>E120*S120</f>
        <v>141.37037820000006</v>
      </c>
      <c r="U120" s="249"/>
      <c r="V120" s="326"/>
      <c r="W120" s="326"/>
      <c r="X120" s="326">
        <f t="shared" si="1"/>
        <v>0</v>
      </c>
    </row>
    <row r="121" spans="1:24" s="45" customFormat="1" ht="12.75" customHeight="1">
      <c r="A121" s="338"/>
      <c r="B121" s="91" t="s">
        <v>38</v>
      </c>
      <c r="C121" s="473"/>
      <c r="D121" s="23"/>
      <c r="E121" s="100"/>
      <c r="F121" s="6"/>
      <c r="G121" s="131">
        <f>G120*$J$14/1000</f>
        <v>1.6166065000000001</v>
      </c>
      <c r="H121" s="142"/>
      <c r="I121" s="143"/>
      <c r="J121" s="131">
        <f>J120*$Q$14/1000</f>
        <v>2.5413458000000011</v>
      </c>
      <c r="K121" s="25"/>
      <c r="L121" s="3"/>
      <c r="M121" s="1"/>
      <c r="N121" s="4"/>
      <c r="O121" s="4"/>
      <c r="P121" s="6"/>
      <c r="Q121" s="26"/>
      <c r="R121" s="100"/>
      <c r="S121" s="100"/>
      <c r="T121" s="27"/>
      <c r="U121" s="249"/>
      <c r="V121" s="326"/>
      <c r="W121" s="326"/>
      <c r="X121" s="326">
        <f t="shared" si="1"/>
        <v>0</v>
      </c>
    </row>
    <row r="122" spans="1:24" s="45" customFormat="1" ht="12.75" hidden="1" customHeight="1">
      <c r="A122" s="338"/>
      <c r="B122" s="249"/>
      <c r="C122" s="473"/>
      <c r="D122" s="23"/>
      <c r="E122" s="100"/>
      <c r="F122" s="6"/>
      <c r="G122" s="2"/>
      <c r="H122" s="6"/>
      <c r="I122" s="24"/>
      <c r="J122" s="2"/>
      <c r="K122" s="25"/>
      <c r="L122" s="3"/>
      <c r="M122" s="1"/>
      <c r="N122" s="4"/>
      <c r="O122" s="4"/>
      <c r="P122" s="6"/>
      <c r="Q122" s="26"/>
      <c r="R122" s="100"/>
      <c r="S122" s="100"/>
      <c r="T122" s="27"/>
      <c r="U122" s="249"/>
      <c r="V122" s="326"/>
      <c r="W122" s="326"/>
      <c r="X122" s="326">
        <f t="shared" si="1"/>
        <v>0</v>
      </c>
    </row>
    <row r="123" spans="1:24" s="45" customFormat="1" ht="8.25" hidden="1" customHeight="1">
      <c r="A123" s="338"/>
      <c r="B123" s="249"/>
      <c r="C123" s="473"/>
      <c r="D123" s="23"/>
      <c r="E123" s="100"/>
      <c r="F123" s="6"/>
      <c r="G123" s="2"/>
      <c r="H123" s="6"/>
      <c r="I123" s="24"/>
      <c r="J123" s="2"/>
      <c r="K123" s="25"/>
      <c r="L123" s="3"/>
      <c r="M123" s="1"/>
      <c r="N123" s="4"/>
      <c r="O123" s="4"/>
      <c r="P123" s="6"/>
      <c r="Q123" s="26"/>
      <c r="R123" s="100"/>
      <c r="S123" s="100"/>
      <c r="T123" s="27"/>
      <c r="U123" s="249"/>
      <c r="V123" s="326"/>
      <c r="W123" s="326"/>
      <c r="X123" s="326">
        <f t="shared" si="1"/>
        <v>0</v>
      </c>
    </row>
    <row r="124" spans="1:24" s="45" customFormat="1" ht="12.75" customHeight="1">
      <c r="A124" s="339"/>
      <c r="B124" s="28"/>
      <c r="C124" s="29"/>
      <c r="D124" s="30"/>
      <c r="E124" s="88"/>
      <c r="F124" s="31"/>
      <c r="G124" s="32"/>
      <c r="H124" s="31"/>
      <c r="I124" s="33"/>
      <c r="J124" s="32"/>
      <c r="K124" s="34"/>
      <c r="L124" s="3"/>
      <c r="M124" s="1"/>
      <c r="N124" s="4"/>
      <c r="O124" s="4"/>
      <c r="P124" s="6"/>
      <c r="Q124" s="26"/>
      <c r="R124" s="100"/>
      <c r="S124" s="100"/>
      <c r="T124" s="27"/>
      <c r="U124" s="249"/>
      <c r="V124" s="326"/>
      <c r="W124" s="326"/>
      <c r="X124" s="326">
        <f t="shared" si="1"/>
        <v>0</v>
      </c>
    </row>
    <row r="125" spans="1:24" s="45" customFormat="1" ht="12.75" customHeight="1">
      <c r="A125" s="337">
        <f>A120+1</f>
        <v>24</v>
      </c>
      <c r="B125" s="91" t="s">
        <v>39</v>
      </c>
      <c r="C125" s="388" t="s">
        <v>46</v>
      </c>
      <c r="D125" s="23" t="s">
        <v>23</v>
      </c>
      <c r="E125" s="89">
        <f>0.002*34</f>
        <v>6.8000000000000005E-2</v>
      </c>
      <c r="F125" s="6"/>
      <c r="G125" s="2">
        <v>27.7</v>
      </c>
      <c r="H125" s="6"/>
      <c r="I125" s="24"/>
      <c r="J125" s="2">
        <v>0.8</v>
      </c>
      <c r="K125" s="25"/>
      <c r="L125" s="39"/>
      <c r="M125" s="40"/>
      <c r="N125" s="41"/>
      <c r="O125" s="41"/>
      <c r="P125" s="14"/>
      <c r="Q125" s="43"/>
      <c r="R125" s="22">
        <f>G126+J126</f>
        <v>54.756921000000006</v>
      </c>
      <c r="S125" s="387">
        <f>R125+R126</f>
        <v>215.44429269891006</v>
      </c>
      <c r="T125" s="389">
        <f>E125*S125</f>
        <v>14.650211903525886</v>
      </c>
      <c r="U125" s="249"/>
      <c r="V125" s="326"/>
      <c r="W125" s="326"/>
      <c r="X125" s="326">
        <f t="shared" si="1"/>
        <v>0</v>
      </c>
    </row>
    <row r="126" spans="1:24" s="45" customFormat="1" ht="12.75" customHeight="1">
      <c r="A126" s="338"/>
      <c r="B126" s="91" t="s">
        <v>40</v>
      </c>
      <c r="C126" s="384"/>
      <c r="D126" s="23"/>
      <c r="E126" s="100"/>
      <c r="F126" s="6"/>
      <c r="G126" s="131">
        <f>G125*$J$14/1000</f>
        <v>52.682353000000006</v>
      </c>
      <c r="H126" s="142"/>
      <c r="I126" s="143"/>
      <c r="J126" s="131">
        <f>J125*$Q$14/1000</f>
        <v>2.0745680000000002</v>
      </c>
      <c r="K126" s="25"/>
      <c r="L126" s="177" t="s">
        <v>43</v>
      </c>
      <c r="M126" s="46" t="s">
        <v>23</v>
      </c>
      <c r="N126" s="47">
        <v>1.04</v>
      </c>
      <c r="O126" s="84">
        <f>E125*N126</f>
        <v>7.0720000000000005E-2</v>
      </c>
      <c r="P126" s="311">
        <v>29</v>
      </c>
      <c r="Q126" s="147">
        <f>N126*P126*$N$12</f>
        <v>34.423559352000005</v>
      </c>
      <c r="R126" s="387">
        <f>SUM(Q126:Q127)</f>
        <v>160.68737169891006</v>
      </c>
      <c r="S126" s="385"/>
      <c r="T126" s="386"/>
      <c r="U126" s="249"/>
      <c r="V126" s="326"/>
      <c r="W126" s="326"/>
      <c r="X126" s="326">
        <f t="shared" si="1"/>
        <v>0</v>
      </c>
    </row>
    <row r="127" spans="1:24" s="45" customFormat="1" ht="12.75" hidden="1" customHeight="1">
      <c r="A127" s="338"/>
      <c r="B127" s="249"/>
      <c r="C127" s="384"/>
      <c r="D127" s="23"/>
      <c r="E127" s="100"/>
      <c r="F127" s="6"/>
      <c r="G127" s="2"/>
      <c r="H127" s="6"/>
      <c r="I127" s="24"/>
      <c r="J127" s="2"/>
      <c r="K127" s="25"/>
      <c r="L127" s="49" t="s">
        <v>41</v>
      </c>
      <c r="M127" s="50" t="s">
        <v>23</v>
      </c>
      <c r="N127" s="51">
        <v>0.9</v>
      </c>
      <c r="O127" s="85">
        <f>E125*N127</f>
        <v>6.1200000000000004E-2</v>
      </c>
      <c r="P127" s="321">
        <v>122.917</v>
      </c>
      <c r="Q127" s="154">
        <f>N127*P127*$N$12</f>
        <v>126.26381234691004</v>
      </c>
      <c r="R127" s="385"/>
      <c r="S127" s="385"/>
      <c r="T127" s="386"/>
      <c r="U127" s="249"/>
      <c r="V127" s="326"/>
      <c r="W127" s="326"/>
      <c r="X127" s="326">
        <f t="shared" si="1"/>
        <v>0</v>
      </c>
    </row>
    <row r="128" spans="1:24" s="45" customFormat="1" ht="12.75" customHeight="1">
      <c r="A128" s="339"/>
      <c r="B128" s="28"/>
      <c r="C128" s="29"/>
      <c r="D128" s="30"/>
      <c r="E128" s="88"/>
      <c r="F128" s="31"/>
      <c r="G128" s="32"/>
      <c r="H128" s="31"/>
      <c r="I128" s="33"/>
      <c r="J128" s="32"/>
      <c r="K128" s="34"/>
      <c r="L128" s="3"/>
      <c r="M128" s="1"/>
      <c r="N128" s="4"/>
      <c r="O128" s="4"/>
      <c r="P128" s="6"/>
      <c r="Q128" s="26"/>
      <c r="R128" s="100"/>
      <c r="S128" s="100"/>
      <c r="T128" s="27"/>
      <c r="U128" s="249"/>
      <c r="V128" s="326"/>
      <c r="W128" s="326"/>
      <c r="X128" s="326">
        <f t="shared" si="1"/>
        <v>0</v>
      </c>
    </row>
    <row r="129" spans="1:24" s="45" customFormat="1" ht="12.75" customHeight="1">
      <c r="A129" s="337">
        <f>A125+1</f>
        <v>25</v>
      </c>
      <c r="B129" s="91" t="s">
        <v>64</v>
      </c>
      <c r="C129" s="388" t="s">
        <v>112</v>
      </c>
      <c r="D129" s="23" t="s">
        <v>31</v>
      </c>
      <c r="E129" s="100">
        <f>0.45*34</f>
        <v>15.3</v>
      </c>
      <c r="F129" s="6"/>
      <c r="G129" s="2">
        <v>1.1100000000000001</v>
      </c>
      <c r="H129" s="6"/>
      <c r="I129" s="24"/>
      <c r="J129" s="2">
        <v>0.04</v>
      </c>
      <c r="K129" s="25"/>
      <c r="L129" s="39"/>
      <c r="M129" s="40"/>
      <c r="N129" s="41"/>
      <c r="O129" s="41"/>
      <c r="P129" s="14"/>
      <c r="Q129" s="43"/>
      <c r="R129" s="22">
        <f>G130+J130</f>
        <v>2.2148263000000004</v>
      </c>
      <c r="S129" s="387">
        <f>R129+R130</f>
        <v>2.6462621566000006</v>
      </c>
      <c r="T129" s="389">
        <f>E129*S129</f>
        <v>40.487810995980013</v>
      </c>
      <c r="U129" s="249"/>
      <c r="V129" s="326"/>
      <c r="W129" s="326"/>
      <c r="X129" s="326">
        <f t="shared" si="1"/>
        <v>0</v>
      </c>
    </row>
    <row r="130" spans="1:24" s="45" customFormat="1" ht="11.25" customHeight="1">
      <c r="A130" s="338"/>
      <c r="B130" s="91" t="s">
        <v>65</v>
      </c>
      <c r="C130" s="384"/>
      <c r="D130" s="23"/>
      <c r="E130" s="100"/>
      <c r="F130" s="6"/>
      <c r="G130" s="131">
        <f>G129*$J$14/1000</f>
        <v>2.1110979000000003</v>
      </c>
      <c r="H130" s="142"/>
      <c r="I130" s="143"/>
      <c r="J130" s="131">
        <f>J129*$Q$14/1000</f>
        <v>0.10372840000000001</v>
      </c>
      <c r="K130" s="25"/>
      <c r="L130" s="390" t="s">
        <v>109</v>
      </c>
      <c r="M130" s="46" t="s">
        <v>31</v>
      </c>
      <c r="N130" s="47">
        <v>1</v>
      </c>
      <c r="O130" s="84">
        <f>E129*N130</f>
        <v>15.3</v>
      </c>
      <c r="P130" s="311">
        <v>0.378</v>
      </c>
      <c r="Q130" s="184">
        <f>N130*P130*$N$12</f>
        <v>0.43143585660000011</v>
      </c>
      <c r="R130" s="100">
        <f>SUM(Q130:Q130)</f>
        <v>0.43143585660000011</v>
      </c>
      <c r="S130" s="385"/>
      <c r="T130" s="386"/>
      <c r="U130" s="249"/>
      <c r="V130" s="326"/>
      <c r="W130" s="326"/>
      <c r="X130" s="326">
        <f t="shared" si="1"/>
        <v>0</v>
      </c>
    </row>
    <row r="131" spans="1:24" s="45" customFormat="1" ht="0.75" hidden="1" customHeight="1">
      <c r="A131" s="338"/>
      <c r="B131" s="249"/>
      <c r="C131" s="384"/>
      <c r="D131" s="23"/>
      <c r="E131" s="100"/>
      <c r="F131" s="6"/>
      <c r="G131" s="2"/>
      <c r="H131" s="6"/>
      <c r="I131" s="24"/>
      <c r="J131" s="2"/>
      <c r="K131" s="25"/>
      <c r="L131" s="391"/>
      <c r="M131" s="185"/>
      <c r="N131" s="186"/>
      <c r="O131" s="186"/>
      <c r="P131" s="314"/>
      <c r="Q131" s="187"/>
      <c r="R131" s="100"/>
      <c r="S131" s="100"/>
      <c r="T131" s="27"/>
      <c r="U131" s="249"/>
      <c r="V131" s="326"/>
      <c r="W131" s="326"/>
      <c r="X131" s="326">
        <f t="shared" si="1"/>
        <v>0</v>
      </c>
    </row>
    <row r="132" spans="1:24" ht="12" hidden="1" customHeight="1">
      <c r="A132" s="338"/>
      <c r="B132" s="249"/>
      <c r="C132" s="384"/>
      <c r="D132" s="23"/>
      <c r="E132" s="100"/>
      <c r="F132" s="6"/>
      <c r="G132" s="2"/>
      <c r="H132" s="6"/>
      <c r="I132" s="24"/>
      <c r="J132" s="2"/>
      <c r="K132" s="25"/>
      <c r="L132" s="391"/>
      <c r="M132" s="185"/>
      <c r="N132" s="186"/>
      <c r="O132" s="186"/>
      <c r="P132" s="314"/>
      <c r="Q132" s="187"/>
      <c r="R132" s="100"/>
      <c r="S132" s="100"/>
      <c r="T132" s="27"/>
      <c r="U132" s="149"/>
      <c r="V132" s="326"/>
      <c r="W132" s="326"/>
      <c r="X132" s="326">
        <f t="shared" si="1"/>
        <v>0</v>
      </c>
    </row>
    <row r="133" spans="1:24" ht="12.75" hidden="1" customHeight="1">
      <c r="A133" s="338"/>
      <c r="B133" s="249"/>
      <c r="C133" s="384"/>
      <c r="D133" s="23"/>
      <c r="E133" s="100"/>
      <c r="F133" s="6"/>
      <c r="G133" s="2"/>
      <c r="H133" s="6"/>
      <c r="I133" s="24"/>
      <c r="J133" s="2"/>
      <c r="K133" s="25"/>
      <c r="L133" s="391"/>
      <c r="M133" s="185"/>
      <c r="N133" s="186"/>
      <c r="O133" s="186"/>
      <c r="P133" s="314"/>
      <c r="Q133" s="187"/>
      <c r="R133" s="100"/>
      <c r="S133" s="100"/>
      <c r="T133" s="27"/>
      <c r="U133" s="149"/>
      <c r="V133" s="326"/>
      <c r="W133" s="326"/>
      <c r="X133" s="326">
        <f t="shared" si="1"/>
        <v>0</v>
      </c>
    </row>
    <row r="134" spans="1:24" ht="12.75" customHeight="1">
      <c r="A134" s="339"/>
      <c r="B134" s="28"/>
      <c r="C134" s="29"/>
      <c r="D134" s="30"/>
      <c r="E134" s="88"/>
      <c r="F134" s="31"/>
      <c r="G134" s="32"/>
      <c r="H134" s="31"/>
      <c r="I134" s="33"/>
      <c r="J134" s="32"/>
      <c r="K134" s="34"/>
      <c r="L134" s="3"/>
      <c r="M134" s="1"/>
      <c r="N134" s="4"/>
      <c r="O134" s="4"/>
      <c r="P134" s="6"/>
      <c r="Q134" s="26"/>
      <c r="R134" s="100"/>
      <c r="S134" s="100"/>
      <c r="T134" s="27"/>
      <c r="U134" s="149"/>
      <c r="V134" s="326"/>
      <c r="W134" s="326"/>
      <c r="X134" s="326">
        <f t="shared" si="1"/>
        <v>0</v>
      </c>
    </row>
    <row r="135" spans="1:24" s="45" customFormat="1" ht="15.75" customHeight="1">
      <c r="A135" s="337">
        <f>A129+1</f>
        <v>26</v>
      </c>
      <c r="B135" s="90" t="s">
        <v>37</v>
      </c>
      <c r="C135" s="388" t="s">
        <v>110</v>
      </c>
      <c r="D135" s="13" t="s">
        <v>29</v>
      </c>
      <c r="E135" s="99">
        <v>8</v>
      </c>
      <c r="F135" s="14"/>
      <c r="G135" s="15">
        <v>0.85</v>
      </c>
      <c r="H135" s="14"/>
      <c r="I135" s="16"/>
      <c r="J135" s="15">
        <v>0.98000000000000043</v>
      </c>
      <c r="K135" s="17"/>
      <c r="L135" s="18"/>
      <c r="M135" s="19"/>
      <c r="N135" s="20"/>
      <c r="O135" s="20"/>
      <c r="P135" s="320"/>
      <c r="Q135" s="21"/>
      <c r="R135" s="22">
        <f>G136+J136</f>
        <v>4.1579523000000016</v>
      </c>
      <c r="S135" s="99">
        <f>R135+R136</f>
        <v>4.1579523000000016</v>
      </c>
      <c r="T135" s="101">
        <f>E135*S135</f>
        <v>33.263618400000013</v>
      </c>
      <c r="U135" s="249"/>
      <c r="V135" s="326"/>
      <c r="W135" s="326"/>
      <c r="X135" s="326">
        <f t="shared" si="1"/>
        <v>0</v>
      </c>
    </row>
    <row r="136" spans="1:24" s="45" customFormat="1" ht="12" customHeight="1">
      <c r="A136" s="338"/>
      <c r="B136" s="91" t="s">
        <v>38</v>
      </c>
      <c r="C136" s="473"/>
      <c r="D136" s="23"/>
      <c r="E136" s="100"/>
      <c r="F136" s="6"/>
      <c r="G136" s="131">
        <f>G135*$J$14/1000</f>
        <v>1.6166065000000001</v>
      </c>
      <c r="H136" s="142"/>
      <c r="I136" s="143"/>
      <c r="J136" s="131">
        <f>J135*$Q$14/1000</f>
        <v>2.5413458000000011</v>
      </c>
      <c r="K136" s="25"/>
      <c r="L136" s="3"/>
      <c r="M136" s="1"/>
      <c r="N136" s="4"/>
      <c r="O136" s="4"/>
      <c r="P136" s="6"/>
      <c r="Q136" s="26"/>
      <c r="R136" s="100"/>
      <c r="S136" s="100"/>
      <c r="T136" s="27"/>
      <c r="U136" s="249"/>
      <c r="V136" s="326"/>
      <c r="W136" s="326"/>
      <c r="X136" s="326">
        <f t="shared" si="1"/>
        <v>0</v>
      </c>
    </row>
    <row r="137" spans="1:24" s="45" customFormat="1" ht="12.75" hidden="1" customHeight="1">
      <c r="A137" s="338"/>
      <c r="B137" s="249"/>
      <c r="C137" s="473"/>
      <c r="D137" s="23"/>
      <c r="E137" s="100"/>
      <c r="F137" s="6"/>
      <c r="G137" s="2"/>
      <c r="H137" s="6"/>
      <c r="I137" s="24"/>
      <c r="J137" s="2"/>
      <c r="K137" s="25"/>
      <c r="L137" s="3"/>
      <c r="M137" s="1"/>
      <c r="N137" s="4"/>
      <c r="O137" s="4"/>
      <c r="P137" s="6"/>
      <c r="Q137" s="26"/>
      <c r="R137" s="100"/>
      <c r="S137" s="100"/>
      <c r="T137" s="27"/>
      <c r="U137" s="249"/>
      <c r="V137" s="326"/>
      <c r="W137" s="326"/>
      <c r="X137" s="326">
        <f t="shared" si="1"/>
        <v>0</v>
      </c>
    </row>
    <row r="138" spans="1:24" s="45" customFormat="1" ht="12.75" hidden="1" customHeight="1">
      <c r="A138" s="338"/>
      <c r="B138" s="249"/>
      <c r="C138" s="473"/>
      <c r="D138" s="23"/>
      <c r="E138" s="100"/>
      <c r="F138" s="6"/>
      <c r="G138" s="2"/>
      <c r="H138" s="6"/>
      <c r="I138" s="24"/>
      <c r="J138" s="2"/>
      <c r="K138" s="25"/>
      <c r="L138" s="3"/>
      <c r="M138" s="1"/>
      <c r="N138" s="4"/>
      <c r="O138" s="4"/>
      <c r="P138" s="6"/>
      <c r="Q138" s="26"/>
      <c r="R138" s="100"/>
      <c r="S138" s="100"/>
      <c r="T138" s="27"/>
      <c r="U138" s="249"/>
      <c r="V138" s="326"/>
      <c r="W138" s="326"/>
      <c r="X138" s="326">
        <f t="shared" si="1"/>
        <v>0</v>
      </c>
    </row>
    <row r="139" spans="1:24" s="45" customFormat="1" ht="12.75" customHeight="1">
      <c r="A139" s="339"/>
      <c r="B139" s="28"/>
      <c r="C139" s="29"/>
      <c r="D139" s="30"/>
      <c r="E139" s="88"/>
      <c r="F139" s="31"/>
      <c r="G139" s="32"/>
      <c r="H139" s="31"/>
      <c r="I139" s="33"/>
      <c r="J139" s="32"/>
      <c r="K139" s="34"/>
      <c r="L139" s="3"/>
      <c r="M139" s="1"/>
      <c r="N139" s="4"/>
      <c r="O139" s="4"/>
      <c r="P139" s="6"/>
      <c r="Q139" s="26"/>
      <c r="R139" s="100"/>
      <c r="S139" s="100"/>
      <c r="T139" s="27"/>
      <c r="U139" s="249"/>
      <c r="V139" s="326"/>
      <c r="W139" s="326"/>
      <c r="X139" s="326">
        <f t="shared" si="1"/>
        <v>0</v>
      </c>
    </row>
    <row r="140" spans="1:24" s="45" customFormat="1" ht="12.75" customHeight="1">
      <c r="A140" s="337">
        <f>A135+1</f>
        <v>27</v>
      </c>
      <c r="B140" s="91" t="s">
        <v>39</v>
      </c>
      <c r="C140" s="388" t="s">
        <v>45</v>
      </c>
      <c r="D140" s="23" t="s">
        <v>23</v>
      </c>
      <c r="E140" s="89">
        <f>0.002*8</f>
        <v>1.6E-2</v>
      </c>
      <c r="F140" s="6"/>
      <c r="G140" s="2">
        <v>27.7</v>
      </c>
      <c r="H140" s="6"/>
      <c r="I140" s="24"/>
      <c r="J140" s="2">
        <v>0.8</v>
      </c>
      <c r="K140" s="25"/>
      <c r="L140" s="39"/>
      <c r="M140" s="40"/>
      <c r="N140" s="41"/>
      <c r="O140" s="41"/>
      <c r="P140" s="14"/>
      <c r="Q140" s="43"/>
      <c r="R140" s="22">
        <f>G141+J141</f>
        <v>0</v>
      </c>
      <c r="S140" s="387">
        <f>R140+R141</f>
        <v>164.05533348296404</v>
      </c>
      <c r="T140" s="389">
        <f>E140*S140</f>
        <v>2.6248853357274249</v>
      </c>
      <c r="U140" s="249"/>
      <c r="V140" s="326"/>
      <c r="W140" s="326"/>
      <c r="X140" s="326">
        <f t="shared" si="1"/>
        <v>0</v>
      </c>
    </row>
    <row r="141" spans="1:24" s="45" customFormat="1" ht="12.75" customHeight="1">
      <c r="A141" s="338"/>
      <c r="B141" s="91" t="s">
        <v>40</v>
      </c>
      <c r="C141" s="384"/>
      <c r="D141" s="23"/>
      <c r="E141" s="100"/>
      <c r="F141" s="6"/>
      <c r="G141" s="52">
        <f>G140*$J$16/1000</f>
        <v>0</v>
      </c>
      <c r="H141" s="53"/>
      <c r="I141" s="54"/>
      <c r="J141" s="52">
        <f>J140*$Q$16/1000</f>
        <v>0</v>
      </c>
      <c r="K141" s="25"/>
      <c r="L141" s="177" t="s">
        <v>43</v>
      </c>
      <c r="M141" s="46" t="s">
        <v>23</v>
      </c>
      <c r="N141" s="47">
        <v>1.04</v>
      </c>
      <c r="O141" s="84">
        <f>E140*N141</f>
        <v>1.6640000000000002E-2</v>
      </c>
      <c r="P141" s="311">
        <v>29.132999999999999</v>
      </c>
      <c r="Q141" s="147">
        <f>N141*P141*$N$12</f>
        <v>34.581432917304006</v>
      </c>
      <c r="R141" s="387">
        <f>SUM(Q141:Q142)</f>
        <v>164.05533348296404</v>
      </c>
      <c r="S141" s="385"/>
      <c r="T141" s="386"/>
      <c r="U141" s="249"/>
      <c r="V141" s="326"/>
      <c r="W141" s="326"/>
      <c r="X141" s="326">
        <f t="shared" si="1"/>
        <v>0</v>
      </c>
    </row>
    <row r="142" spans="1:24" s="45" customFormat="1" ht="12.75" customHeight="1">
      <c r="A142" s="338"/>
      <c r="B142" s="249"/>
      <c r="C142" s="384"/>
      <c r="D142" s="23"/>
      <c r="E142" s="100"/>
      <c r="F142" s="6"/>
      <c r="G142" s="2"/>
      <c r="H142" s="6"/>
      <c r="I142" s="24"/>
      <c r="J142" s="2"/>
      <c r="K142" s="25"/>
      <c r="L142" s="49" t="s">
        <v>41</v>
      </c>
      <c r="M142" s="50" t="s">
        <v>23</v>
      </c>
      <c r="N142" s="51">
        <v>0.9</v>
      </c>
      <c r="O142" s="85">
        <f>E140*N142</f>
        <v>1.4400000000000001E-2</v>
      </c>
      <c r="P142" s="321">
        <v>126.042</v>
      </c>
      <c r="Q142" s="154">
        <f>N142*P142*$N$12</f>
        <v>129.47390056566005</v>
      </c>
      <c r="R142" s="385"/>
      <c r="S142" s="385"/>
      <c r="T142" s="386"/>
      <c r="U142" s="249"/>
      <c r="V142" s="326"/>
      <c r="W142" s="326"/>
      <c r="X142" s="326">
        <f t="shared" si="1"/>
        <v>0</v>
      </c>
    </row>
    <row r="143" spans="1:24" s="45" customFormat="1" ht="12.75" customHeight="1">
      <c r="A143" s="339"/>
      <c r="B143" s="28"/>
      <c r="C143" s="29"/>
      <c r="D143" s="30"/>
      <c r="E143" s="88"/>
      <c r="F143" s="31"/>
      <c r="G143" s="32"/>
      <c r="H143" s="31"/>
      <c r="I143" s="33"/>
      <c r="J143" s="32"/>
      <c r="K143" s="34"/>
      <c r="L143" s="3"/>
      <c r="M143" s="1"/>
      <c r="N143" s="4"/>
      <c r="O143" s="4"/>
      <c r="P143" s="6"/>
      <c r="Q143" s="26"/>
      <c r="R143" s="100"/>
      <c r="S143" s="100"/>
      <c r="T143" s="27"/>
      <c r="U143" s="249"/>
      <c r="V143" s="326"/>
      <c r="W143" s="326"/>
      <c r="X143" s="326">
        <f t="shared" si="1"/>
        <v>0</v>
      </c>
    </row>
    <row r="144" spans="1:24" s="45" customFormat="1" ht="12.75" customHeight="1">
      <c r="A144" s="337">
        <f>A140+1</f>
        <v>28</v>
      </c>
      <c r="B144" s="91" t="s">
        <v>64</v>
      </c>
      <c r="C144" s="388" t="s">
        <v>108</v>
      </c>
      <c r="D144" s="23" t="s">
        <v>31</v>
      </c>
      <c r="E144" s="100">
        <f>0.32*4</f>
        <v>1.28</v>
      </c>
      <c r="F144" s="6"/>
      <c r="G144" s="2">
        <v>1.1100000000000001</v>
      </c>
      <c r="H144" s="6"/>
      <c r="I144" s="24"/>
      <c r="J144" s="2">
        <v>0.04</v>
      </c>
      <c r="K144" s="25"/>
      <c r="L144" s="39"/>
      <c r="M144" s="40"/>
      <c r="N144" s="41"/>
      <c r="O144" s="41"/>
      <c r="P144" s="14"/>
      <c r="Q144" s="43"/>
      <c r="R144" s="22">
        <f>G145+J145</f>
        <v>2.2148263000000004</v>
      </c>
      <c r="S144" s="387">
        <f>R144+R145</f>
        <v>2.6462621566000006</v>
      </c>
      <c r="T144" s="389">
        <f>E144*S144</f>
        <v>3.3872155604480008</v>
      </c>
      <c r="U144" s="249"/>
      <c r="V144" s="326"/>
      <c r="W144" s="326"/>
      <c r="X144" s="326">
        <f t="shared" si="1"/>
        <v>0</v>
      </c>
    </row>
    <row r="145" spans="1:24" s="45" customFormat="1" ht="12.75" customHeight="1">
      <c r="A145" s="338"/>
      <c r="B145" s="91" t="s">
        <v>65</v>
      </c>
      <c r="C145" s="384"/>
      <c r="D145" s="23"/>
      <c r="E145" s="100"/>
      <c r="F145" s="6"/>
      <c r="G145" s="131">
        <f>G144*$J$14/1000</f>
        <v>2.1110979000000003</v>
      </c>
      <c r="H145" s="142"/>
      <c r="I145" s="143"/>
      <c r="J145" s="131">
        <f>J144*$Q$14/1000</f>
        <v>0.10372840000000001</v>
      </c>
      <c r="K145" s="25"/>
      <c r="L145" s="390" t="s">
        <v>109</v>
      </c>
      <c r="M145" s="46" t="s">
        <v>31</v>
      </c>
      <c r="N145" s="47">
        <v>1</v>
      </c>
      <c r="O145" s="84">
        <f>E144*N145</f>
        <v>1.28</v>
      </c>
      <c r="P145" s="311">
        <v>0.378</v>
      </c>
      <c r="Q145" s="184">
        <f>N145*P145*$N$12</f>
        <v>0.43143585660000011</v>
      </c>
      <c r="R145" s="100">
        <f>SUM(Q145:Q145)</f>
        <v>0.43143585660000011</v>
      </c>
      <c r="S145" s="385"/>
      <c r="T145" s="386"/>
      <c r="U145" s="249"/>
      <c r="V145" s="326"/>
      <c r="W145" s="326"/>
      <c r="X145" s="326">
        <f t="shared" si="1"/>
        <v>0</v>
      </c>
    </row>
    <row r="146" spans="1:24" s="45" customFormat="1" ht="12.75" hidden="1" customHeight="1">
      <c r="A146" s="338"/>
      <c r="B146" s="249"/>
      <c r="C146" s="384"/>
      <c r="D146" s="23"/>
      <c r="E146" s="100"/>
      <c r="F146" s="6"/>
      <c r="G146" s="2"/>
      <c r="H146" s="6"/>
      <c r="I146" s="24"/>
      <c r="J146" s="2"/>
      <c r="K146" s="25"/>
      <c r="L146" s="391"/>
      <c r="M146" s="185"/>
      <c r="N146" s="186"/>
      <c r="O146" s="186"/>
      <c r="P146" s="314"/>
      <c r="Q146" s="187"/>
      <c r="R146" s="100"/>
      <c r="S146" s="100"/>
      <c r="T146" s="27"/>
      <c r="U146" s="249"/>
      <c r="V146" s="326"/>
      <c r="W146" s="326"/>
      <c r="X146" s="326">
        <f t="shared" si="1"/>
        <v>0</v>
      </c>
    </row>
    <row r="147" spans="1:24" ht="12" hidden="1" customHeight="1">
      <c r="A147" s="338"/>
      <c r="B147" s="249"/>
      <c r="C147" s="384"/>
      <c r="D147" s="23"/>
      <c r="E147" s="100"/>
      <c r="F147" s="6"/>
      <c r="G147" s="2"/>
      <c r="H147" s="6"/>
      <c r="I147" s="24"/>
      <c r="J147" s="2"/>
      <c r="K147" s="25"/>
      <c r="L147" s="391"/>
      <c r="M147" s="185"/>
      <c r="N147" s="186"/>
      <c r="O147" s="186"/>
      <c r="P147" s="314"/>
      <c r="Q147" s="187"/>
      <c r="R147" s="100"/>
      <c r="S147" s="100"/>
      <c r="T147" s="27"/>
      <c r="U147" s="149"/>
      <c r="V147" s="326"/>
      <c r="W147" s="326"/>
      <c r="X147" s="326">
        <f t="shared" si="1"/>
        <v>0</v>
      </c>
    </row>
    <row r="148" spans="1:24" ht="12.75" hidden="1" customHeight="1">
      <c r="A148" s="338"/>
      <c r="B148" s="249"/>
      <c r="C148" s="384"/>
      <c r="D148" s="23"/>
      <c r="E148" s="100"/>
      <c r="F148" s="6"/>
      <c r="G148" s="2"/>
      <c r="H148" s="6"/>
      <c r="I148" s="24"/>
      <c r="J148" s="2"/>
      <c r="K148" s="25"/>
      <c r="L148" s="391"/>
      <c r="M148" s="185"/>
      <c r="N148" s="186"/>
      <c r="O148" s="186"/>
      <c r="P148" s="314"/>
      <c r="Q148" s="187"/>
      <c r="R148" s="100"/>
      <c r="S148" s="100"/>
      <c r="T148" s="27"/>
      <c r="U148" s="149"/>
      <c r="V148" s="326"/>
      <c r="W148" s="326"/>
      <c r="X148" s="326">
        <f t="shared" si="1"/>
        <v>0</v>
      </c>
    </row>
    <row r="149" spans="1:24" ht="12.75" customHeight="1">
      <c r="A149" s="339"/>
      <c r="B149" s="28"/>
      <c r="C149" s="29"/>
      <c r="D149" s="30"/>
      <c r="E149" s="88"/>
      <c r="F149" s="31"/>
      <c r="G149" s="32"/>
      <c r="H149" s="31"/>
      <c r="I149" s="33"/>
      <c r="J149" s="32"/>
      <c r="K149" s="34"/>
      <c r="L149" s="3"/>
      <c r="M149" s="1"/>
      <c r="N149" s="4"/>
      <c r="O149" s="4"/>
      <c r="P149" s="6"/>
      <c r="Q149" s="26"/>
      <c r="R149" s="100"/>
      <c r="S149" s="100"/>
      <c r="T149" s="27"/>
      <c r="U149" s="149"/>
      <c r="V149" s="326"/>
      <c r="W149" s="326"/>
      <c r="X149" s="326">
        <f t="shared" si="1"/>
        <v>0</v>
      </c>
    </row>
    <row r="150" spans="1:24" ht="18" customHeight="1">
      <c r="A150" s="333">
        <f>A144+1</f>
        <v>29</v>
      </c>
      <c r="B150" s="192" t="s">
        <v>59</v>
      </c>
      <c r="C150" s="380" t="s">
        <v>111</v>
      </c>
      <c r="D150" s="129" t="s">
        <v>23</v>
      </c>
      <c r="E150" s="140">
        <v>0.3</v>
      </c>
      <c r="F150" s="130"/>
      <c r="G150" s="131">
        <v>8.3699999999999992</v>
      </c>
      <c r="H150" s="130"/>
      <c r="I150" s="132"/>
      <c r="J150" s="131">
        <v>0.17</v>
      </c>
      <c r="K150" s="133"/>
      <c r="L150" s="134"/>
      <c r="M150" s="135"/>
      <c r="N150" s="136"/>
      <c r="O150" s="137"/>
      <c r="P150" s="130"/>
      <c r="Q150" s="138"/>
      <c r="R150" s="139">
        <f>G151+J151</f>
        <v>16.359665</v>
      </c>
      <c r="S150" s="378">
        <f>R150+R151</f>
        <v>40.647905816000005</v>
      </c>
      <c r="T150" s="382">
        <f>E150*S150</f>
        <v>12.194371744800002</v>
      </c>
      <c r="U150" s="149"/>
      <c r="V150" s="326"/>
      <c r="W150" s="326"/>
      <c r="X150" s="326">
        <f t="shared" si="1"/>
        <v>0</v>
      </c>
    </row>
    <row r="151" spans="1:24" ht="11.25" customHeight="1">
      <c r="A151" s="334"/>
      <c r="B151" s="170" t="s">
        <v>60</v>
      </c>
      <c r="C151" s="381"/>
      <c r="E151" s="148"/>
      <c r="G151" s="131">
        <f>G150*$J$14/1000</f>
        <v>15.918819299999999</v>
      </c>
      <c r="I151" s="143"/>
      <c r="J151" s="131">
        <f>J150*$Q$14/1000</f>
        <v>0.44084570000000001</v>
      </c>
      <c r="K151" s="144"/>
      <c r="L151" s="181" t="s">
        <v>61</v>
      </c>
      <c r="M151" s="182" t="s">
        <v>23</v>
      </c>
      <c r="N151" s="183">
        <v>1.52</v>
      </c>
      <c r="O151" s="183">
        <f>E150*N151</f>
        <v>0.45599999999999996</v>
      </c>
      <c r="P151" s="313">
        <v>14</v>
      </c>
      <c r="Q151" s="184">
        <f>N151*P151*$N$12</f>
        <v>24.288240816000005</v>
      </c>
      <c r="R151" s="148">
        <f>SUM(Q151:Q151)</f>
        <v>24.288240816000005</v>
      </c>
      <c r="S151" s="379"/>
      <c r="T151" s="383"/>
      <c r="U151" s="149"/>
      <c r="V151" s="326"/>
      <c r="W151" s="326"/>
      <c r="X151" s="326">
        <f t="shared" si="1"/>
        <v>0</v>
      </c>
    </row>
    <row r="152" spans="1:24" ht="12.75" hidden="1" customHeight="1">
      <c r="A152" s="334"/>
      <c r="C152" s="381"/>
      <c r="E152" s="148"/>
      <c r="I152" s="143"/>
      <c r="K152" s="144"/>
      <c r="Q152" s="176"/>
      <c r="R152" s="148"/>
      <c r="S152" s="148"/>
      <c r="T152" s="155"/>
      <c r="U152" s="149"/>
      <c r="V152" s="326"/>
      <c r="W152" s="326"/>
      <c r="X152" s="326">
        <f t="shared" si="1"/>
        <v>0</v>
      </c>
    </row>
    <row r="153" spans="1:24" ht="12.75" customHeight="1">
      <c r="A153" s="335"/>
      <c r="B153" s="156"/>
      <c r="C153" s="157"/>
      <c r="D153" s="158"/>
      <c r="E153" s="159"/>
      <c r="F153" s="160"/>
      <c r="G153" s="161"/>
      <c r="H153" s="160"/>
      <c r="I153" s="162"/>
      <c r="J153" s="161"/>
      <c r="K153" s="163"/>
      <c r="L153" s="164"/>
      <c r="M153" s="165"/>
      <c r="N153" s="166"/>
      <c r="O153" s="167"/>
      <c r="P153" s="160"/>
      <c r="Q153" s="168"/>
      <c r="R153" s="159"/>
      <c r="S153" s="159"/>
      <c r="T153" s="169"/>
      <c r="U153" s="149"/>
      <c r="V153" s="326"/>
      <c r="W153" s="326"/>
      <c r="X153" s="326">
        <f t="shared" si="1"/>
        <v>0</v>
      </c>
    </row>
    <row r="154" spans="1:24" s="44" customFormat="1" ht="12.75" customHeight="1">
      <c r="A154" s="333">
        <f>A150+1</f>
        <v>30</v>
      </c>
      <c r="B154" s="91" t="s">
        <v>49</v>
      </c>
      <c r="C154" s="388" t="s">
        <v>93</v>
      </c>
      <c r="D154" s="13" t="s">
        <v>23</v>
      </c>
      <c r="E154" s="96">
        <v>1.85</v>
      </c>
      <c r="F154" s="14"/>
      <c r="G154" s="15">
        <v>3.9</v>
      </c>
      <c r="H154" s="14"/>
      <c r="I154" s="16"/>
      <c r="J154" s="15">
        <v>2.9</v>
      </c>
      <c r="K154" s="17"/>
      <c r="L154" s="39"/>
      <c r="M154" s="40"/>
      <c r="N154" s="41"/>
      <c r="O154" s="42"/>
      <c r="P154" s="14"/>
      <c r="Q154" s="43"/>
      <c r="R154" s="22">
        <f>G155+J155</f>
        <v>14.93768</v>
      </c>
      <c r="S154" s="387">
        <f>R154+R155</f>
        <v>14.93768</v>
      </c>
      <c r="T154" s="389">
        <f>E154*S154</f>
        <v>27.634708000000003</v>
      </c>
      <c r="U154" s="346"/>
      <c r="V154" s="326"/>
      <c r="W154" s="326"/>
      <c r="X154" s="326">
        <f t="shared" si="1"/>
        <v>0</v>
      </c>
    </row>
    <row r="155" spans="1:24" s="44" customFormat="1" ht="12.75" customHeight="1">
      <c r="A155" s="338"/>
      <c r="B155" s="94"/>
      <c r="C155" s="384"/>
      <c r="D155" s="23"/>
      <c r="E155" s="100"/>
      <c r="F155" s="6"/>
      <c r="G155" s="131">
        <f>G154*$J$14/1000</f>
        <v>7.4173710000000002</v>
      </c>
      <c r="H155" s="142"/>
      <c r="I155" s="143"/>
      <c r="J155" s="131">
        <f>J154*$Q$14/1000</f>
        <v>7.5203090000000001</v>
      </c>
      <c r="K155" s="25"/>
      <c r="L155" s="177"/>
      <c r="M155" s="83"/>
      <c r="N155" s="79"/>
      <c r="O155" s="79"/>
      <c r="P155" s="311"/>
      <c r="Q155" s="48"/>
      <c r="R155" s="99">
        <f>SUM(Q155:Q155)</f>
        <v>0</v>
      </c>
      <c r="S155" s="385"/>
      <c r="T155" s="386"/>
      <c r="U155" s="346"/>
      <c r="V155" s="326"/>
      <c r="W155" s="326"/>
      <c r="X155" s="326">
        <f t="shared" si="1"/>
        <v>0</v>
      </c>
    </row>
    <row r="156" spans="1:24" s="44" customFormat="1" ht="12.75" customHeight="1">
      <c r="A156" s="339"/>
      <c r="B156" s="28"/>
      <c r="C156" s="29"/>
      <c r="D156" s="30"/>
      <c r="E156" s="88"/>
      <c r="F156" s="31"/>
      <c r="G156" s="32"/>
      <c r="H156" s="31"/>
      <c r="I156" s="33"/>
      <c r="J156" s="32"/>
      <c r="K156" s="34"/>
      <c r="L156" s="35"/>
      <c r="M156" s="36"/>
      <c r="N156" s="81"/>
      <c r="O156" s="82"/>
      <c r="P156" s="31"/>
      <c r="Q156" s="37"/>
      <c r="R156" s="88"/>
      <c r="S156" s="88"/>
      <c r="T156" s="38"/>
      <c r="U156" s="346"/>
      <c r="V156" s="326"/>
      <c r="W156" s="326"/>
      <c r="X156" s="326">
        <f t="shared" ref="W156:X161" si="2">F156*W156</f>
        <v>0</v>
      </c>
    </row>
    <row r="157" spans="1:24" s="60" customFormat="1" ht="12.75" customHeight="1">
      <c r="A157" s="347">
        <f>A154+1</f>
        <v>31</v>
      </c>
      <c r="B157" s="348" t="s">
        <v>50</v>
      </c>
      <c r="C157" s="474" t="s">
        <v>51</v>
      </c>
      <c r="D157" s="349" t="s">
        <v>23</v>
      </c>
      <c r="E157" s="98">
        <v>1.85</v>
      </c>
      <c r="F157" s="53"/>
      <c r="G157" s="62">
        <v>0.7</v>
      </c>
      <c r="H157" s="53"/>
      <c r="I157" s="54"/>
      <c r="J157" s="62">
        <v>0.28000000000000003</v>
      </c>
      <c r="K157" s="61"/>
      <c r="L157" s="55"/>
      <c r="M157" s="56"/>
      <c r="N157" s="57"/>
      <c r="O157" s="57"/>
      <c r="P157" s="322"/>
      <c r="Q157" s="58"/>
      <c r="R157" s="59">
        <f>G158+J158</f>
        <v>2.0574218000000002</v>
      </c>
      <c r="S157" s="476">
        <f>R157+R158</f>
        <v>35.818989626000011</v>
      </c>
      <c r="T157" s="478">
        <f>E157*S157</f>
        <v>66.265130808100025</v>
      </c>
      <c r="U157" s="350"/>
      <c r="V157" s="326"/>
      <c r="W157" s="326"/>
      <c r="X157" s="326">
        <f t="shared" si="2"/>
        <v>0</v>
      </c>
    </row>
    <row r="158" spans="1:24" s="60" customFormat="1" ht="12.75" customHeight="1">
      <c r="A158" s="351"/>
      <c r="B158" s="348" t="s">
        <v>48</v>
      </c>
      <c r="C158" s="475"/>
      <c r="D158" s="349"/>
      <c r="E158" s="98"/>
      <c r="F158" s="53"/>
      <c r="G158" s="131">
        <f>G157*$J$14/1000</f>
        <v>1.331323</v>
      </c>
      <c r="H158" s="142"/>
      <c r="I158" s="143"/>
      <c r="J158" s="131">
        <f>J157*$Q$14/1000</f>
        <v>0.72609880000000004</v>
      </c>
      <c r="K158" s="61"/>
      <c r="L158" s="76" t="s">
        <v>43</v>
      </c>
      <c r="M158" s="77" t="s">
        <v>23</v>
      </c>
      <c r="N158" s="78">
        <v>1.02</v>
      </c>
      <c r="O158" s="87">
        <f>E157*N158</f>
        <v>1.8870000000000002</v>
      </c>
      <c r="P158" s="323">
        <v>29</v>
      </c>
      <c r="Q158" s="184">
        <f>N158*P158*$N$12</f>
        <v>33.761567826000011</v>
      </c>
      <c r="R158" s="98">
        <f>SUM(Q158:Q158)</f>
        <v>33.761567826000011</v>
      </c>
      <c r="S158" s="477"/>
      <c r="T158" s="479"/>
      <c r="U158" s="350"/>
      <c r="V158" s="326">
        <f t="shared" ref="V156:V161" si="3">S158*$V$13</f>
        <v>0</v>
      </c>
      <c r="W158" s="326">
        <f t="shared" si="2"/>
        <v>0</v>
      </c>
      <c r="X158" s="326">
        <f t="shared" si="2"/>
        <v>0</v>
      </c>
    </row>
    <row r="159" spans="1:24" s="60" customFormat="1" ht="12.75" hidden="1" customHeight="1">
      <c r="A159" s="351"/>
      <c r="B159" s="350"/>
      <c r="C159" s="475"/>
      <c r="D159" s="349"/>
      <c r="E159" s="98"/>
      <c r="F159" s="53"/>
      <c r="G159" s="62"/>
      <c r="H159" s="53"/>
      <c r="I159" s="54"/>
      <c r="J159" s="62"/>
      <c r="K159" s="61"/>
      <c r="L159" s="73"/>
      <c r="M159" s="74"/>
      <c r="N159" s="75"/>
      <c r="O159" s="75"/>
      <c r="P159" s="53"/>
      <c r="Q159" s="64"/>
      <c r="R159" s="98"/>
      <c r="S159" s="98"/>
      <c r="T159" s="63"/>
      <c r="U159" s="350"/>
      <c r="V159" s="326">
        <f t="shared" si="3"/>
        <v>0</v>
      </c>
      <c r="W159" s="326">
        <f t="shared" si="2"/>
        <v>0</v>
      </c>
      <c r="X159" s="326">
        <f t="shared" si="2"/>
        <v>0</v>
      </c>
    </row>
    <row r="160" spans="1:24" s="60" customFormat="1" ht="12.75" hidden="1" customHeight="1">
      <c r="A160" s="351"/>
      <c r="B160" s="350"/>
      <c r="C160" s="475"/>
      <c r="D160" s="349"/>
      <c r="E160" s="98"/>
      <c r="F160" s="53"/>
      <c r="G160" s="62"/>
      <c r="H160" s="53"/>
      <c r="I160" s="54"/>
      <c r="J160" s="62"/>
      <c r="K160" s="61"/>
      <c r="L160" s="73"/>
      <c r="M160" s="74"/>
      <c r="N160" s="75"/>
      <c r="O160" s="75"/>
      <c r="P160" s="53"/>
      <c r="Q160" s="64"/>
      <c r="R160" s="98"/>
      <c r="S160" s="98"/>
      <c r="T160" s="63"/>
      <c r="U160" s="350"/>
      <c r="V160" s="326">
        <f t="shared" si="3"/>
        <v>0</v>
      </c>
      <c r="W160" s="326">
        <f t="shared" si="2"/>
        <v>0</v>
      </c>
      <c r="X160" s="326">
        <f t="shared" si="2"/>
        <v>0</v>
      </c>
    </row>
    <row r="161" spans="1:24" s="60" customFormat="1" ht="12.75" customHeight="1">
      <c r="A161" s="352"/>
      <c r="B161" s="65"/>
      <c r="C161" s="66"/>
      <c r="D161" s="67"/>
      <c r="E161" s="68"/>
      <c r="F161" s="69"/>
      <c r="G161" s="70"/>
      <c r="H161" s="69"/>
      <c r="I161" s="71"/>
      <c r="J161" s="70"/>
      <c r="K161" s="72"/>
      <c r="L161" s="73"/>
      <c r="M161" s="74"/>
      <c r="N161" s="75"/>
      <c r="O161" s="75"/>
      <c r="P161" s="53"/>
      <c r="Q161" s="64"/>
      <c r="R161" s="98"/>
      <c r="S161" s="98"/>
      <c r="T161" s="63"/>
      <c r="U161" s="350"/>
      <c r="V161" s="326">
        <f t="shared" si="3"/>
        <v>0</v>
      </c>
      <c r="W161" s="326">
        <f t="shared" si="2"/>
        <v>0</v>
      </c>
      <c r="X161" s="326">
        <f t="shared" si="2"/>
        <v>0</v>
      </c>
    </row>
    <row r="162" spans="1:24" s="150" customFormat="1" ht="16.5" customHeight="1">
      <c r="A162" s="353"/>
      <c r="B162" s="223"/>
      <c r="C162" s="224" t="s">
        <v>26</v>
      </c>
      <c r="D162" s="225"/>
      <c r="E162" s="226"/>
      <c r="F162" s="227"/>
      <c r="G162" s="228"/>
      <c r="H162" s="227"/>
      <c r="I162" s="229"/>
      <c r="J162" s="228"/>
      <c r="K162" s="230"/>
      <c r="L162" s="231"/>
      <c r="M162" s="232"/>
      <c r="N162" s="233"/>
      <c r="O162" s="234"/>
      <c r="P162" s="227"/>
      <c r="Q162" s="228"/>
      <c r="R162" s="234"/>
      <c r="S162" s="234"/>
      <c r="T162" s="235">
        <f>SUM(T24:T161)</f>
        <v>5019.2144121926585</v>
      </c>
      <c r="U162" s="149"/>
      <c r="V162" s="234"/>
      <c r="W162" s="354">
        <f>SUM(W24:W161)</f>
        <v>0</v>
      </c>
      <c r="X162" s="482">
        <v>0.65759999999999996</v>
      </c>
    </row>
    <row r="163" spans="1:24" s="150" customFormat="1" ht="18" customHeight="1">
      <c r="A163" s="355"/>
      <c r="B163" s="236"/>
      <c r="C163" s="237">
        <v>2</v>
      </c>
      <c r="D163" s="238"/>
      <c r="E163" s="239"/>
      <c r="F163" s="240"/>
      <c r="G163" s="241"/>
      <c r="H163" s="240"/>
      <c r="I163" s="242"/>
      <c r="J163" s="241"/>
      <c r="K163" s="243"/>
      <c r="L163" s="244"/>
      <c r="M163" s="245"/>
      <c r="N163" s="246"/>
      <c r="O163" s="247"/>
      <c r="P163" s="240"/>
      <c r="Q163" s="241"/>
      <c r="R163" s="234"/>
      <c r="S163" s="247"/>
      <c r="T163" s="248"/>
      <c r="U163" s="149"/>
      <c r="V163" s="247"/>
      <c r="W163" s="356"/>
      <c r="X163" s="356"/>
    </row>
    <row r="164" spans="1:24" s="45" customFormat="1" ht="13.5" customHeight="1">
      <c r="A164" s="333">
        <v>1</v>
      </c>
      <c r="B164" s="90" t="s">
        <v>123</v>
      </c>
      <c r="C164" s="388" t="s">
        <v>125</v>
      </c>
      <c r="D164" s="13" t="s">
        <v>29</v>
      </c>
      <c r="E164" s="99">
        <v>2</v>
      </c>
      <c r="F164" s="14"/>
      <c r="G164" s="15">
        <v>23.1</v>
      </c>
      <c r="H164" s="14"/>
      <c r="I164" s="16"/>
      <c r="J164" s="15">
        <v>4.84</v>
      </c>
      <c r="K164" s="17"/>
      <c r="L164" s="39"/>
      <c r="M164" s="40"/>
      <c r="N164" s="41"/>
      <c r="O164" s="42"/>
      <c r="P164" s="14"/>
      <c r="Q164" s="43"/>
      <c r="R164" s="22">
        <f>G165+J165</f>
        <v>56.484795400000003</v>
      </c>
      <c r="S164" s="387">
        <f>R164+R165</f>
        <v>704.77994500000023</v>
      </c>
      <c r="T164" s="389">
        <f>E164*S164</f>
        <v>1409.5598900000005</v>
      </c>
      <c r="U164" s="249"/>
      <c r="V164" s="326"/>
      <c r="W164" s="326"/>
      <c r="X164" s="326">
        <f t="shared" ref="W164:X227" si="4">F164*W164</f>
        <v>0</v>
      </c>
    </row>
    <row r="165" spans="1:24" s="45" customFormat="1" ht="12" customHeight="1">
      <c r="A165" s="338"/>
      <c r="B165" s="91" t="s">
        <v>124</v>
      </c>
      <c r="C165" s="384"/>
      <c r="D165" s="23"/>
      <c r="E165" s="100"/>
      <c r="F165" s="6"/>
      <c r="G165" s="131">
        <f>G164*$J$14/1000</f>
        <v>43.933659000000006</v>
      </c>
      <c r="H165" s="142"/>
      <c r="I165" s="143"/>
      <c r="J165" s="131">
        <f>J164*$Q$14/1000</f>
        <v>12.551136399999999</v>
      </c>
      <c r="K165" s="25"/>
      <c r="L165" s="390" t="s">
        <v>149</v>
      </c>
      <c r="M165" s="46" t="s">
        <v>29</v>
      </c>
      <c r="N165" s="47">
        <v>1</v>
      </c>
      <c r="O165" s="47">
        <f>E164*N165</f>
        <v>2</v>
      </c>
      <c r="P165" s="311">
        <v>568</v>
      </c>
      <c r="Q165" s="184">
        <f>N165*P165*$N$12</f>
        <v>648.29514960000017</v>
      </c>
      <c r="R165" s="100">
        <f>SUM(Q165:Q165)</f>
        <v>648.29514960000017</v>
      </c>
      <c r="S165" s="385"/>
      <c r="T165" s="386"/>
      <c r="U165" s="249"/>
      <c r="V165" s="326"/>
      <c r="W165" s="326"/>
      <c r="X165" s="326">
        <f t="shared" si="4"/>
        <v>0</v>
      </c>
    </row>
    <row r="166" spans="1:24" s="45" customFormat="1" ht="13.5" hidden="1" customHeight="1">
      <c r="A166" s="338"/>
      <c r="B166" s="249"/>
      <c r="C166" s="384"/>
      <c r="D166" s="23"/>
      <c r="E166" s="100"/>
      <c r="F166" s="6"/>
      <c r="G166" s="2"/>
      <c r="H166" s="6"/>
      <c r="I166" s="24"/>
      <c r="J166" s="2"/>
      <c r="K166" s="25"/>
      <c r="L166" s="391"/>
      <c r="M166" s="185"/>
      <c r="N166" s="186"/>
      <c r="O166" s="250"/>
      <c r="P166" s="314"/>
      <c r="Q166" s="187"/>
      <c r="R166" s="100"/>
      <c r="S166" s="100"/>
      <c r="T166" s="27"/>
      <c r="U166" s="249"/>
      <c r="V166" s="326"/>
      <c r="W166" s="326"/>
      <c r="X166" s="326">
        <f t="shared" si="4"/>
        <v>0</v>
      </c>
    </row>
    <row r="167" spans="1:24" s="45" customFormat="1" ht="13.5" hidden="1" customHeight="1">
      <c r="A167" s="338"/>
      <c r="B167" s="249"/>
      <c r="C167" s="384"/>
      <c r="D167" s="23"/>
      <c r="E167" s="100"/>
      <c r="F167" s="6"/>
      <c r="G167" s="2"/>
      <c r="H167" s="6"/>
      <c r="I167" s="24"/>
      <c r="J167" s="2"/>
      <c r="K167" s="25"/>
      <c r="L167" s="402"/>
      <c r="M167" s="178"/>
      <c r="N167" s="179"/>
      <c r="O167" s="251"/>
      <c r="P167" s="312"/>
      <c r="Q167" s="180"/>
      <c r="R167" s="100"/>
      <c r="S167" s="100"/>
      <c r="T167" s="27"/>
      <c r="U167" s="249"/>
      <c r="V167" s="326"/>
      <c r="W167" s="326"/>
      <c r="X167" s="326">
        <f t="shared" si="4"/>
        <v>0</v>
      </c>
    </row>
    <row r="168" spans="1:24" s="45" customFormat="1" ht="13.5" customHeight="1">
      <c r="A168" s="339"/>
      <c r="B168" s="28"/>
      <c r="C168" s="29"/>
      <c r="D168" s="30"/>
      <c r="E168" s="88"/>
      <c r="F168" s="31"/>
      <c r="G168" s="32"/>
      <c r="H168" s="31"/>
      <c r="I168" s="33"/>
      <c r="J168" s="32"/>
      <c r="K168" s="34"/>
      <c r="L168" s="35"/>
      <c r="M168" s="36"/>
      <c r="N168" s="221"/>
      <c r="O168" s="222"/>
      <c r="P168" s="31"/>
      <c r="Q168" s="37"/>
      <c r="R168" s="88"/>
      <c r="S168" s="88"/>
      <c r="T168" s="38"/>
      <c r="U168" s="249"/>
      <c r="V168" s="326"/>
      <c r="W168" s="326"/>
      <c r="X168" s="326">
        <f t="shared" si="4"/>
        <v>0</v>
      </c>
    </row>
    <row r="169" spans="1:24" s="45" customFormat="1" ht="13.5" customHeight="1">
      <c r="A169" s="333">
        <f>A164+1</f>
        <v>2</v>
      </c>
      <c r="B169" s="90" t="s">
        <v>127</v>
      </c>
      <c r="C169" s="388" t="s">
        <v>126</v>
      </c>
      <c r="D169" s="13" t="s">
        <v>28</v>
      </c>
      <c r="E169" s="99">
        <f>0.12*3.14*3.8</f>
        <v>1.43184</v>
      </c>
      <c r="F169" s="14"/>
      <c r="G169" s="15">
        <v>0.88</v>
      </c>
      <c r="H169" s="14"/>
      <c r="I169" s="16"/>
      <c r="J169" s="15">
        <v>0.04</v>
      </c>
      <c r="K169" s="17">
        <v>0.04</v>
      </c>
      <c r="L169" s="39"/>
      <c r="M169" s="40"/>
      <c r="N169" s="41"/>
      <c r="O169" s="42"/>
      <c r="P169" s="14"/>
      <c r="Q169" s="43"/>
      <c r="R169" s="22">
        <f>G170+J170</f>
        <v>1.7773916000000003</v>
      </c>
      <c r="S169" s="387">
        <f>R169+R170</f>
        <v>4.5965624090000006</v>
      </c>
      <c r="T169" s="389">
        <f>E169*S169</f>
        <v>6.5815419197025609</v>
      </c>
      <c r="U169" s="249"/>
      <c r="V169" s="326"/>
      <c r="W169" s="326"/>
      <c r="X169" s="326">
        <f t="shared" si="4"/>
        <v>0</v>
      </c>
    </row>
    <row r="170" spans="1:24" s="45" customFormat="1" ht="13.5" customHeight="1">
      <c r="A170" s="338"/>
      <c r="B170" s="91"/>
      <c r="C170" s="384"/>
      <c r="D170" s="23"/>
      <c r="E170" s="100"/>
      <c r="F170" s="6"/>
      <c r="G170" s="131">
        <f>G169*$J$14/1000</f>
        <v>1.6736632000000002</v>
      </c>
      <c r="H170" s="142"/>
      <c r="I170" s="143"/>
      <c r="J170" s="131">
        <f>J169*$Q$14/1000</f>
        <v>0.10372840000000001</v>
      </c>
      <c r="K170" s="25"/>
      <c r="L170" s="390" t="s">
        <v>154</v>
      </c>
      <c r="M170" s="46" t="s">
        <v>28</v>
      </c>
      <c r="N170" s="47">
        <v>1</v>
      </c>
      <c r="O170" s="47">
        <f>E169*N170</f>
        <v>1.43184</v>
      </c>
      <c r="P170" s="311">
        <f>1.9*1.3</f>
        <v>2.4699999999999998</v>
      </c>
      <c r="Q170" s="184">
        <f>N170*P170*$N$12</f>
        <v>2.8191708090000005</v>
      </c>
      <c r="R170" s="100">
        <f>SUM(Q170:Q170)</f>
        <v>2.8191708090000005</v>
      </c>
      <c r="S170" s="385"/>
      <c r="T170" s="386"/>
      <c r="U170" s="249"/>
      <c r="V170" s="326"/>
      <c r="W170" s="326"/>
      <c r="X170" s="326">
        <f t="shared" si="4"/>
        <v>0</v>
      </c>
    </row>
    <row r="171" spans="1:24" s="45" customFormat="1" ht="13.5" hidden="1" customHeight="1">
      <c r="A171" s="338"/>
      <c r="B171" s="249"/>
      <c r="C171" s="384"/>
      <c r="D171" s="23"/>
      <c r="E171" s="100"/>
      <c r="F171" s="6"/>
      <c r="G171" s="2"/>
      <c r="H171" s="6"/>
      <c r="I171" s="24"/>
      <c r="J171" s="2"/>
      <c r="K171" s="25"/>
      <c r="L171" s="391"/>
      <c r="M171" s="185"/>
      <c r="N171" s="186"/>
      <c r="O171" s="250"/>
      <c r="P171" s="314"/>
      <c r="Q171" s="187"/>
      <c r="R171" s="100"/>
      <c r="S171" s="100"/>
      <c r="T171" s="27"/>
      <c r="U171" s="249"/>
      <c r="V171" s="326"/>
      <c r="W171" s="326"/>
      <c r="X171" s="326">
        <f t="shared" si="4"/>
        <v>0</v>
      </c>
    </row>
    <row r="172" spans="1:24" s="45" customFormat="1" ht="13.5" hidden="1" customHeight="1">
      <c r="A172" s="338"/>
      <c r="B172" s="249"/>
      <c r="C172" s="384"/>
      <c r="D172" s="23"/>
      <c r="E172" s="100"/>
      <c r="F172" s="6"/>
      <c r="G172" s="2"/>
      <c r="H172" s="6"/>
      <c r="I172" s="24"/>
      <c r="J172" s="2"/>
      <c r="K172" s="25"/>
      <c r="L172" s="402"/>
      <c r="M172" s="178"/>
      <c r="N172" s="179"/>
      <c r="O172" s="251"/>
      <c r="P172" s="312"/>
      <c r="Q172" s="180"/>
      <c r="R172" s="100"/>
      <c r="S172" s="100"/>
      <c r="T172" s="27"/>
      <c r="U172" s="249"/>
      <c r="V172" s="326"/>
      <c r="W172" s="326"/>
      <c r="X172" s="326">
        <f t="shared" si="4"/>
        <v>0</v>
      </c>
    </row>
    <row r="173" spans="1:24" s="45" customFormat="1" ht="13.5" customHeight="1">
      <c r="A173" s="339"/>
      <c r="B173" s="28"/>
      <c r="C173" s="29"/>
      <c r="D173" s="30"/>
      <c r="E173" s="88"/>
      <c r="F173" s="31"/>
      <c r="G173" s="32"/>
      <c r="H173" s="31"/>
      <c r="I173" s="33"/>
      <c r="J173" s="32"/>
      <c r="K173" s="34"/>
      <c r="L173" s="35"/>
      <c r="M173" s="36"/>
      <c r="N173" s="221"/>
      <c r="O173" s="222"/>
      <c r="P173" s="31"/>
      <c r="Q173" s="37"/>
      <c r="R173" s="88"/>
      <c r="S173" s="88"/>
      <c r="T173" s="38"/>
      <c r="U173" s="249"/>
      <c r="V173" s="326"/>
      <c r="W173" s="326"/>
      <c r="X173" s="326">
        <f t="shared" si="4"/>
        <v>0</v>
      </c>
    </row>
    <row r="174" spans="1:24" s="45" customFormat="1" ht="13.5" customHeight="1">
      <c r="A174" s="333">
        <f>A169+1</f>
        <v>3</v>
      </c>
      <c r="B174" s="90" t="s">
        <v>127</v>
      </c>
      <c r="C174" s="388" t="s">
        <v>128</v>
      </c>
      <c r="D174" s="13" t="s">
        <v>28</v>
      </c>
      <c r="E174" s="99">
        <f>0.25*3.14*3</f>
        <v>2.355</v>
      </c>
      <c r="F174" s="14"/>
      <c r="G174" s="15">
        <v>0.88</v>
      </c>
      <c r="H174" s="14"/>
      <c r="I174" s="16"/>
      <c r="J174" s="15">
        <v>0.04</v>
      </c>
      <c r="K174" s="17">
        <v>0.04</v>
      </c>
      <c r="L174" s="39"/>
      <c r="M174" s="40"/>
      <c r="N174" s="41"/>
      <c r="O174" s="42"/>
      <c r="P174" s="14"/>
      <c r="Q174" s="43"/>
      <c r="R174" s="22">
        <f>G175+J175</f>
        <v>1.7773916000000003</v>
      </c>
      <c r="S174" s="387">
        <f>R174+R175</f>
        <v>4.5965624090000006</v>
      </c>
      <c r="T174" s="389">
        <f>E174*S174</f>
        <v>10.824904473195001</v>
      </c>
      <c r="U174" s="249"/>
      <c r="V174" s="326"/>
      <c r="W174" s="326"/>
      <c r="X174" s="326">
        <f t="shared" si="4"/>
        <v>0</v>
      </c>
    </row>
    <row r="175" spans="1:24" s="45" customFormat="1" ht="12" customHeight="1">
      <c r="A175" s="338"/>
      <c r="B175" s="91"/>
      <c r="C175" s="384"/>
      <c r="D175" s="23"/>
      <c r="E175" s="100"/>
      <c r="F175" s="6"/>
      <c r="G175" s="131">
        <f>G174*$J$14/1000</f>
        <v>1.6736632000000002</v>
      </c>
      <c r="H175" s="142"/>
      <c r="I175" s="143"/>
      <c r="J175" s="131">
        <f>J174*$Q$14/1000</f>
        <v>0.10372840000000001</v>
      </c>
      <c r="K175" s="25"/>
      <c r="L175" s="390" t="s">
        <v>155</v>
      </c>
      <c r="M175" s="46" t="s">
        <v>28</v>
      </c>
      <c r="N175" s="47">
        <v>1</v>
      </c>
      <c r="O175" s="47">
        <f>E174*N175</f>
        <v>2.355</v>
      </c>
      <c r="P175" s="311">
        <f>1.9*1.3</f>
        <v>2.4699999999999998</v>
      </c>
      <c r="Q175" s="184">
        <f>N175*P175*$N$12</f>
        <v>2.8191708090000005</v>
      </c>
      <c r="R175" s="100">
        <f>SUM(Q175:Q175)</f>
        <v>2.8191708090000005</v>
      </c>
      <c r="S175" s="385"/>
      <c r="T175" s="386"/>
      <c r="U175" s="249"/>
      <c r="V175" s="326"/>
      <c r="W175" s="326"/>
      <c r="X175" s="326">
        <f t="shared" si="4"/>
        <v>0</v>
      </c>
    </row>
    <row r="176" spans="1:24" s="45" customFormat="1" ht="13.5" hidden="1" customHeight="1">
      <c r="A176" s="338"/>
      <c r="B176" s="249"/>
      <c r="C176" s="384"/>
      <c r="D176" s="23"/>
      <c r="E176" s="100"/>
      <c r="F176" s="6"/>
      <c r="G176" s="2"/>
      <c r="H176" s="6"/>
      <c r="I176" s="24"/>
      <c r="J176" s="2"/>
      <c r="K176" s="25"/>
      <c r="L176" s="391"/>
      <c r="M176" s="185"/>
      <c r="N176" s="186"/>
      <c r="O176" s="250"/>
      <c r="P176" s="314"/>
      <c r="Q176" s="187"/>
      <c r="R176" s="100"/>
      <c r="S176" s="100"/>
      <c r="T176" s="27"/>
      <c r="U176" s="249"/>
      <c r="V176" s="326"/>
      <c r="W176" s="326"/>
      <c r="X176" s="326">
        <f t="shared" si="4"/>
        <v>0</v>
      </c>
    </row>
    <row r="177" spans="1:24" s="45" customFormat="1" ht="13.5" customHeight="1">
      <c r="A177" s="339"/>
      <c r="B177" s="28"/>
      <c r="C177" s="29"/>
      <c r="D177" s="30"/>
      <c r="E177" s="88"/>
      <c r="F177" s="31"/>
      <c r="G177" s="32"/>
      <c r="H177" s="31"/>
      <c r="I177" s="33"/>
      <c r="J177" s="32"/>
      <c r="K177" s="34"/>
      <c r="L177" s="35"/>
      <c r="M177" s="36"/>
      <c r="N177" s="221"/>
      <c r="O177" s="222"/>
      <c r="P177" s="31"/>
      <c r="Q177" s="37"/>
      <c r="R177" s="88"/>
      <c r="S177" s="88"/>
      <c r="T177" s="38"/>
      <c r="U177" s="249"/>
      <c r="V177" s="326"/>
      <c r="W177" s="326"/>
      <c r="X177" s="326">
        <f t="shared" si="4"/>
        <v>0</v>
      </c>
    </row>
    <row r="178" spans="1:24" s="45" customFormat="1" ht="13.5" customHeight="1">
      <c r="A178" s="333">
        <f>A174+1</f>
        <v>4</v>
      </c>
      <c r="B178" s="90" t="s">
        <v>131</v>
      </c>
      <c r="C178" s="388" t="s">
        <v>129</v>
      </c>
      <c r="D178" s="13" t="s">
        <v>29</v>
      </c>
      <c r="E178" s="99">
        <v>4</v>
      </c>
      <c r="F178" s="14"/>
      <c r="G178" s="15">
        <v>5.55</v>
      </c>
      <c r="H178" s="14"/>
      <c r="I178" s="16"/>
      <c r="J178" s="15">
        <v>0.22</v>
      </c>
      <c r="K178" s="17">
        <v>0.04</v>
      </c>
      <c r="L178" s="39"/>
      <c r="M178" s="40"/>
      <c r="N178" s="41"/>
      <c r="O178" s="42"/>
      <c r="P178" s="14"/>
      <c r="Q178" s="43"/>
      <c r="R178" s="22">
        <f>G179+J179</f>
        <v>11.125995700000001</v>
      </c>
      <c r="S178" s="387">
        <f>R178+R179</f>
        <v>13.454379688000001</v>
      </c>
      <c r="T178" s="389">
        <f>E178*S178</f>
        <v>53.817518752000005</v>
      </c>
      <c r="U178" s="249"/>
      <c r="V178" s="326"/>
      <c r="W178" s="326"/>
      <c r="X178" s="326">
        <f t="shared" si="4"/>
        <v>0</v>
      </c>
    </row>
    <row r="179" spans="1:24" s="45" customFormat="1" ht="12" customHeight="1">
      <c r="A179" s="338"/>
      <c r="B179" s="91"/>
      <c r="C179" s="384"/>
      <c r="D179" s="23"/>
      <c r="E179" s="100"/>
      <c r="F179" s="6"/>
      <c r="G179" s="131">
        <f>G178*$J$14/1000</f>
        <v>10.5554895</v>
      </c>
      <c r="H179" s="142"/>
      <c r="I179" s="143"/>
      <c r="J179" s="131">
        <f>J178*$Q$14/1000</f>
        <v>0.57050620000000007</v>
      </c>
      <c r="K179" s="25"/>
      <c r="L179" s="390" t="s">
        <v>156</v>
      </c>
      <c r="M179" s="46" t="s">
        <v>28</v>
      </c>
      <c r="N179" s="47">
        <v>1</v>
      </c>
      <c r="O179" s="47">
        <f>E178*N179</f>
        <v>4</v>
      </c>
      <c r="P179" s="311">
        <v>2.04</v>
      </c>
      <c r="Q179" s="184">
        <f>N179*P179*$N$12</f>
        <v>2.3283839880000006</v>
      </c>
      <c r="R179" s="100">
        <f>SUM(Q179:Q179)</f>
        <v>2.3283839880000006</v>
      </c>
      <c r="S179" s="385"/>
      <c r="T179" s="386"/>
      <c r="U179" s="249"/>
      <c r="V179" s="326"/>
      <c r="W179" s="326"/>
      <c r="X179" s="326">
        <f t="shared" si="4"/>
        <v>0</v>
      </c>
    </row>
    <row r="180" spans="1:24" s="45" customFormat="1" ht="13.5" hidden="1" customHeight="1">
      <c r="A180" s="338"/>
      <c r="B180" s="249"/>
      <c r="C180" s="384"/>
      <c r="D180" s="23"/>
      <c r="E180" s="100"/>
      <c r="F180" s="6"/>
      <c r="G180" s="2"/>
      <c r="H180" s="6"/>
      <c r="I180" s="24"/>
      <c r="J180" s="2"/>
      <c r="K180" s="25"/>
      <c r="L180" s="391"/>
      <c r="M180" s="185"/>
      <c r="N180" s="186"/>
      <c r="O180" s="250"/>
      <c r="P180" s="314"/>
      <c r="Q180" s="187"/>
      <c r="R180" s="100"/>
      <c r="S180" s="100"/>
      <c r="T180" s="27"/>
      <c r="U180" s="249"/>
      <c r="V180" s="326"/>
      <c r="W180" s="326"/>
      <c r="X180" s="326">
        <f t="shared" si="4"/>
        <v>0</v>
      </c>
    </row>
    <row r="181" spans="1:24" s="45" customFormat="1" ht="13.5" customHeight="1">
      <c r="A181" s="339"/>
      <c r="B181" s="28"/>
      <c r="C181" s="29"/>
      <c r="D181" s="30"/>
      <c r="E181" s="88"/>
      <c r="F181" s="31"/>
      <c r="G181" s="32"/>
      <c r="H181" s="31"/>
      <c r="I181" s="33"/>
      <c r="J181" s="32"/>
      <c r="K181" s="34"/>
      <c r="L181" s="35"/>
      <c r="M181" s="36"/>
      <c r="N181" s="221"/>
      <c r="O181" s="222"/>
      <c r="P181" s="31"/>
      <c r="Q181" s="37"/>
      <c r="R181" s="88"/>
      <c r="S181" s="88"/>
      <c r="T181" s="38"/>
      <c r="U181" s="249"/>
      <c r="V181" s="326"/>
      <c r="W181" s="326"/>
      <c r="X181" s="326">
        <f t="shared" si="4"/>
        <v>0</v>
      </c>
    </row>
    <row r="182" spans="1:24" s="45" customFormat="1" ht="13.5" customHeight="1">
      <c r="A182" s="333">
        <f>A178+1</f>
        <v>5</v>
      </c>
      <c r="B182" s="90" t="s">
        <v>131</v>
      </c>
      <c r="C182" s="388" t="s">
        <v>130</v>
      </c>
      <c r="D182" s="13" t="s">
        <v>28</v>
      </c>
      <c r="E182" s="99">
        <f>0.25*3.14*3</f>
        <v>2.355</v>
      </c>
      <c r="F182" s="14"/>
      <c r="G182" s="15">
        <v>5.55</v>
      </c>
      <c r="H182" s="14"/>
      <c r="I182" s="16"/>
      <c r="J182" s="15">
        <v>0.22</v>
      </c>
      <c r="K182" s="17">
        <v>0.04</v>
      </c>
      <c r="L182" s="39"/>
      <c r="M182" s="40"/>
      <c r="N182" s="41"/>
      <c r="O182" s="42"/>
      <c r="P182" s="14"/>
      <c r="Q182" s="43"/>
      <c r="R182" s="22">
        <f>G183+J183</f>
        <v>11.125995700000001</v>
      </c>
      <c r="S182" s="387">
        <f>R182+R183</f>
        <v>13.454379688000001</v>
      </c>
      <c r="T182" s="389">
        <f>E182*S182</f>
        <v>31.685064165240004</v>
      </c>
      <c r="U182" s="249"/>
      <c r="V182" s="326"/>
      <c r="W182" s="326"/>
      <c r="X182" s="326">
        <f t="shared" si="4"/>
        <v>0</v>
      </c>
    </row>
    <row r="183" spans="1:24" s="45" customFormat="1" ht="12" customHeight="1">
      <c r="A183" s="338"/>
      <c r="B183" s="91"/>
      <c r="C183" s="384"/>
      <c r="D183" s="23"/>
      <c r="E183" s="100"/>
      <c r="F183" s="6"/>
      <c r="G183" s="131">
        <f>G182*$J$14/1000</f>
        <v>10.5554895</v>
      </c>
      <c r="H183" s="142"/>
      <c r="I183" s="143"/>
      <c r="J183" s="131">
        <f>J182*$Q$14/1000</f>
        <v>0.57050620000000007</v>
      </c>
      <c r="K183" s="25"/>
      <c r="L183" s="390" t="s">
        <v>157</v>
      </c>
      <c r="M183" s="46" t="s">
        <v>28</v>
      </c>
      <c r="N183" s="47">
        <v>1</v>
      </c>
      <c r="O183" s="47">
        <f>E182*N183</f>
        <v>2.355</v>
      </c>
      <c r="P183" s="311">
        <v>2.04</v>
      </c>
      <c r="Q183" s="184">
        <f>N183*P183*$N$12</f>
        <v>2.3283839880000006</v>
      </c>
      <c r="R183" s="100">
        <f>SUM(Q183:Q183)</f>
        <v>2.3283839880000006</v>
      </c>
      <c r="S183" s="385"/>
      <c r="T183" s="386"/>
      <c r="U183" s="249"/>
      <c r="V183" s="326"/>
      <c r="W183" s="326"/>
      <c r="X183" s="326">
        <f t="shared" si="4"/>
        <v>0</v>
      </c>
    </row>
    <row r="184" spans="1:24" s="45" customFormat="1" ht="13.5" hidden="1" customHeight="1">
      <c r="A184" s="338"/>
      <c r="B184" s="249"/>
      <c r="C184" s="384"/>
      <c r="D184" s="23"/>
      <c r="E184" s="100"/>
      <c r="F184" s="6"/>
      <c r="G184" s="2"/>
      <c r="H184" s="6"/>
      <c r="I184" s="24"/>
      <c r="J184" s="2"/>
      <c r="K184" s="25"/>
      <c r="L184" s="391"/>
      <c r="M184" s="185"/>
      <c r="N184" s="186"/>
      <c r="O184" s="250"/>
      <c r="P184" s="314"/>
      <c r="Q184" s="187"/>
      <c r="R184" s="100"/>
      <c r="S184" s="100"/>
      <c r="T184" s="27"/>
      <c r="U184" s="249"/>
      <c r="V184" s="326"/>
      <c r="W184" s="326"/>
      <c r="X184" s="326">
        <f t="shared" si="4"/>
        <v>0</v>
      </c>
    </row>
    <row r="185" spans="1:24" s="45" customFormat="1" ht="13.5" customHeight="1">
      <c r="A185" s="339"/>
      <c r="B185" s="28"/>
      <c r="C185" s="29"/>
      <c r="D185" s="30"/>
      <c r="E185" s="88"/>
      <c r="F185" s="31"/>
      <c r="G185" s="32"/>
      <c r="H185" s="31"/>
      <c r="I185" s="33"/>
      <c r="J185" s="32"/>
      <c r="K185" s="34"/>
      <c r="L185" s="35"/>
      <c r="M185" s="36"/>
      <c r="N185" s="221"/>
      <c r="O185" s="222"/>
      <c r="P185" s="31"/>
      <c r="Q185" s="37"/>
      <c r="R185" s="88"/>
      <c r="S185" s="88"/>
      <c r="T185" s="38"/>
      <c r="U185" s="249"/>
      <c r="V185" s="326"/>
      <c r="W185" s="326"/>
      <c r="X185" s="326">
        <f t="shared" si="4"/>
        <v>0</v>
      </c>
    </row>
    <row r="186" spans="1:24" s="45" customFormat="1" ht="12.75" customHeight="1">
      <c r="A186" s="337">
        <f>A182+1</f>
        <v>6</v>
      </c>
      <c r="B186" s="91" t="s">
        <v>42</v>
      </c>
      <c r="C186" s="388" t="s">
        <v>132</v>
      </c>
      <c r="D186" s="23" t="s">
        <v>31</v>
      </c>
      <c r="E186" s="100">
        <v>3.2</v>
      </c>
      <c r="F186" s="6"/>
      <c r="G186" s="2">
        <v>0.88</v>
      </c>
      <c r="H186" s="6"/>
      <c r="I186" s="24"/>
      <c r="J186" s="2">
        <v>0.03</v>
      </c>
      <c r="K186" s="25"/>
      <c r="L186" s="39"/>
      <c r="M186" s="40"/>
      <c r="N186" s="41"/>
      <c r="O186" s="41"/>
      <c r="P186" s="14"/>
      <c r="Q186" s="43"/>
      <c r="R186" s="22">
        <f>G187+J187</f>
        <v>1.7514595000000002</v>
      </c>
      <c r="S186" s="387">
        <f>R186+R187</f>
        <v>2.6074830250000005</v>
      </c>
      <c r="T186" s="389">
        <f>E186*S186</f>
        <v>8.3439456800000027</v>
      </c>
      <c r="U186" s="249"/>
      <c r="V186" s="326"/>
      <c r="W186" s="326"/>
      <c r="X186" s="326">
        <f t="shared" si="4"/>
        <v>0</v>
      </c>
    </row>
    <row r="187" spans="1:24" s="45" customFormat="1" ht="12" customHeight="1">
      <c r="A187" s="338"/>
      <c r="B187" s="91" t="s">
        <v>65</v>
      </c>
      <c r="C187" s="384"/>
      <c r="D187" s="23"/>
      <c r="E187" s="100"/>
      <c r="F187" s="6"/>
      <c r="G187" s="131">
        <f>G186*$J$14/1000</f>
        <v>1.6736632000000002</v>
      </c>
      <c r="H187" s="142"/>
      <c r="I187" s="143"/>
      <c r="J187" s="131">
        <f>J186*$Q$14/1000</f>
        <v>7.7796299999999999E-2</v>
      </c>
      <c r="K187" s="25"/>
      <c r="L187" s="390" t="s">
        <v>133</v>
      </c>
      <c r="M187" s="46" t="s">
        <v>31</v>
      </c>
      <c r="N187" s="47">
        <v>1</v>
      </c>
      <c r="O187" s="84">
        <f>E186*N187</f>
        <v>3.2</v>
      </c>
      <c r="P187" s="311">
        <v>0.75</v>
      </c>
      <c r="Q187" s="184">
        <f>N187*P187*$N$12</f>
        <v>0.85602352500000012</v>
      </c>
      <c r="R187" s="100">
        <f>SUM(Q187:Q187)</f>
        <v>0.85602352500000012</v>
      </c>
      <c r="S187" s="385"/>
      <c r="T187" s="386"/>
      <c r="U187" s="249"/>
      <c r="V187" s="326"/>
      <c r="W187" s="326"/>
      <c r="X187" s="326">
        <f t="shared" si="4"/>
        <v>0</v>
      </c>
    </row>
    <row r="188" spans="1:24" s="45" customFormat="1" ht="12.75" hidden="1" customHeight="1">
      <c r="A188" s="338"/>
      <c r="B188" s="249"/>
      <c r="C188" s="384"/>
      <c r="D188" s="23"/>
      <c r="E188" s="100"/>
      <c r="F188" s="6"/>
      <c r="G188" s="2"/>
      <c r="H188" s="6"/>
      <c r="I188" s="24"/>
      <c r="J188" s="2"/>
      <c r="K188" s="25"/>
      <c r="L188" s="391"/>
      <c r="M188" s="185"/>
      <c r="N188" s="186"/>
      <c r="O188" s="186"/>
      <c r="P188" s="314"/>
      <c r="Q188" s="187"/>
      <c r="R188" s="100"/>
      <c r="S188" s="100"/>
      <c r="T188" s="27"/>
      <c r="U188" s="249"/>
      <c r="V188" s="326"/>
      <c r="W188" s="326"/>
      <c r="X188" s="326">
        <f t="shared" si="4"/>
        <v>0</v>
      </c>
    </row>
    <row r="189" spans="1:24" ht="12" hidden="1" customHeight="1">
      <c r="A189" s="338"/>
      <c r="B189" s="249"/>
      <c r="C189" s="384"/>
      <c r="D189" s="23"/>
      <c r="E189" s="100"/>
      <c r="F189" s="6"/>
      <c r="G189" s="2"/>
      <c r="H189" s="6"/>
      <c r="I189" s="24"/>
      <c r="J189" s="2"/>
      <c r="K189" s="25"/>
      <c r="L189" s="391"/>
      <c r="M189" s="185"/>
      <c r="N189" s="186"/>
      <c r="O189" s="186"/>
      <c r="P189" s="314"/>
      <c r="Q189" s="187"/>
      <c r="R189" s="100"/>
      <c r="S189" s="100"/>
      <c r="T189" s="27"/>
      <c r="U189" s="149"/>
      <c r="V189" s="326"/>
      <c r="W189" s="326"/>
      <c r="X189" s="326">
        <f t="shared" si="4"/>
        <v>0</v>
      </c>
    </row>
    <row r="190" spans="1:24" ht="12.75" hidden="1" customHeight="1">
      <c r="A190" s="338"/>
      <c r="B190" s="249"/>
      <c r="C190" s="384"/>
      <c r="D190" s="23"/>
      <c r="E190" s="100"/>
      <c r="F190" s="6"/>
      <c r="G190" s="2"/>
      <c r="H190" s="6"/>
      <c r="I190" s="24"/>
      <c r="J190" s="2"/>
      <c r="K190" s="25"/>
      <c r="L190" s="391"/>
      <c r="M190" s="185"/>
      <c r="N190" s="186"/>
      <c r="O190" s="186"/>
      <c r="P190" s="314"/>
      <c r="Q190" s="187"/>
      <c r="R190" s="100"/>
      <c r="S190" s="100"/>
      <c r="T190" s="27"/>
      <c r="U190" s="149"/>
      <c r="V190" s="326"/>
      <c r="W190" s="326"/>
      <c r="X190" s="326">
        <f t="shared" si="4"/>
        <v>0</v>
      </c>
    </row>
    <row r="191" spans="1:24" ht="12.75" customHeight="1">
      <c r="A191" s="339"/>
      <c r="B191" s="28"/>
      <c r="C191" s="29"/>
      <c r="D191" s="30"/>
      <c r="E191" s="88"/>
      <c r="F191" s="31"/>
      <c r="G191" s="32"/>
      <c r="H191" s="31"/>
      <c r="I191" s="33"/>
      <c r="J191" s="32"/>
      <c r="K191" s="34"/>
      <c r="L191" s="3"/>
      <c r="M191" s="1"/>
      <c r="N191" s="4"/>
      <c r="O191" s="4"/>
      <c r="P191" s="6"/>
      <c r="Q191" s="26"/>
      <c r="R191" s="100"/>
      <c r="S191" s="100"/>
      <c r="T191" s="27"/>
      <c r="U191" s="149"/>
      <c r="V191" s="326"/>
      <c r="W191" s="326"/>
      <c r="X191" s="326">
        <f t="shared" si="4"/>
        <v>0</v>
      </c>
    </row>
    <row r="192" spans="1:24" s="45" customFormat="1" ht="16.5" customHeight="1">
      <c r="A192" s="333">
        <f>A186+1</f>
        <v>7</v>
      </c>
      <c r="B192" s="90" t="s">
        <v>123</v>
      </c>
      <c r="C192" s="388" t="s">
        <v>134</v>
      </c>
      <c r="D192" s="13" t="s">
        <v>29</v>
      </c>
      <c r="E192" s="99">
        <v>1</v>
      </c>
      <c r="F192" s="14"/>
      <c r="G192" s="15">
        <v>7.89</v>
      </c>
      <c r="H192" s="14"/>
      <c r="I192" s="16"/>
      <c r="J192" s="15">
        <v>0.39</v>
      </c>
      <c r="K192" s="17"/>
      <c r="L192" s="39"/>
      <c r="M192" s="40"/>
      <c r="N192" s="41"/>
      <c r="O192" s="42"/>
      <c r="P192" s="14"/>
      <c r="Q192" s="43"/>
      <c r="R192" s="22">
        <f>G193+J193</f>
        <v>16.017264000000001</v>
      </c>
      <c r="S192" s="387">
        <f>R192+R193</f>
        <v>45.692746200000002</v>
      </c>
      <c r="T192" s="389">
        <f>E192*S192</f>
        <v>45.692746200000002</v>
      </c>
      <c r="U192" s="249"/>
      <c r="V192" s="326"/>
      <c r="W192" s="326"/>
      <c r="X192" s="326">
        <f t="shared" si="4"/>
        <v>0</v>
      </c>
    </row>
    <row r="193" spans="1:24" s="45" customFormat="1" ht="11.25" customHeight="1">
      <c r="A193" s="338"/>
      <c r="B193" s="91" t="s">
        <v>124</v>
      </c>
      <c r="C193" s="384"/>
      <c r="D193" s="23"/>
      <c r="E193" s="100"/>
      <c r="F193" s="6"/>
      <c r="G193" s="131">
        <f>G192*$J$14/1000</f>
        <v>15.0059121</v>
      </c>
      <c r="H193" s="142"/>
      <c r="I193" s="143"/>
      <c r="J193" s="131">
        <f>J192*$Q$14/1000</f>
        <v>1.0113519</v>
      </c>
      <c r="K193" s="25"/>
      <c r="L193" s="390" t="s">
        <v>134</v>
      </c>
      <c r="M193" s="46" t="s">
        <v>29</v>
      </c>
      <c r="N193" s="47">
        <v>1</v>
      </c>
      <c r="O193" s="47">
        <f>E192*N193</f>
        <v>1</v>
      </c>
      <c r="P193" s="311">
        <v>26</v>
      </c>
      <c r="Q193" s="184">
        <f>N193*P193*$N$12</f>
        <v>29.675482200000005</v>
      </c>
      <c r="R193" s="100">
        <f>SUM(Q193:Q193)</f>
        <v>29.675482200000005</v>
      </c>
      <c r="S193" s="385"/>
      <c r="T193" s="386"/>
      <c r="U193" s="249"/>
      <c r="V193" s="326"/>
      <c r="W193" s="326"/>
      <c r="X193" s="326">
        <f t="shared" si="4"/>
        <v>0</v>
      </c>
    </row>
    <row r="194" spans="1:24" s="45" customFormat="1" ht="12" hidden="1" customHeight="1">
      <c r="A194" s="338"/>
      <c r="B194" s="249"/>
      <c r="C194" s="384"/>
      <c r="D194" s="23"/>
      <c r="E194" s="100"/>
      <c r="F194" s="6"/>
      <c r="G194" s="2"/>
      <c r="H194" s="6"/>
      <c r="I194" s="24"/>
      <c r="J194" s="2"/>
      <c r="K194" s="25"/>
      <c r="L194" s="391"/>
      <c r="M194" s="185"/>
      <c r="N194" s="186"/>
      <c r="O194" s="250"/>
      <c r="P194" s="314"/>
      <c r="Q194" s="187"/>
      <c r="R194" s="100"/>
      <c r="S194" s="100"/>
      <c r="T194" s="27"/>
      <c r="U194" s="249"/>
      <c r="V194" s="326"/>
      <c r="W194" s="326"/>
      <c r="X194" s="326">
        <f t="shared" si="4"/>
        <v>0</v>
      </c>
    </row>
    <row r="195" spans="1:24" s="45" customFormat="1" ht="12" hidden="1" customHeight="1">
      <c r="A195" s="338"/>
      <c r="B195" s="249"/>
      <c r="C195" s="384"/>
      <c r="D195" s="23"/>
      <c r="E195" s="100"/>
      <c r="F195" s="6"/>
      <c r="G195" s="2"/>
      <c r="H195" s="6"/>
      <c r="I195" s="24"/>
      <c r="J195" s="2"/>
      <c r="K195" s="25"/>
      <c r="L195" s="402"/>
      <c r="M195" s="178"/>
      <c r="N195" s="179"/>
      <c r="O195" s="251"/>
      <c r="P195" s="312"/>
      <c r="Q195" s="180"/>
      <c r="R195" s="100"/>
      <c r="S195" s="100"/>
      <c r="T195" s="27"/>
      <c r="U195" s="249"/>
      <c r="V195" s="326"/>
      <c r="W195" s="326"/>
      <c r="X195" s="326">
        <f t="shared" si="4"/>
        <v>0</v>
      </c>
    </row>
    <row r="196" spans="1:24" s="45" customFormat="1" ht="13.5" customHeight="1">
      <c r="A196" s="339"/>
      <c r="B196" s="28"/>
      <c r="C196" s="29"/>
      <c r="D196" s="30"/>
      <c r="E196" s="88"/>
      <c r="F196" s="31"/>
      <c r="G196" s="32"/>
      <c r="H196" s="31"/>
      <c r="I196" s="33"/>
      <c r="J196" s="32"/>
      <c r="K196" s="34"/>
      <c r="L196" s="35"/>
      <c r="M196" s="36"/>
      <c r="N196" s="221"/>
      <c r="O196" s="222"/>
      <c r="P196" s="31"/>
      <c r="Q196" s="37"/>
      <c r="R196" s="88"/>
      <c r="S196" s="88"/>
      <c r="T196" s="38"/>
      <c r="U196" s="249"/>
      <c r="V196" s="326"/>
      <c r="W196" s="326"/>
      <c r="X196" s="326">
        <f t="shared" si="4"/>
        <v>0</v>
      </c>
    </row>
    <row r="197" spans="1:24" s="45" customFormat="1" ht="12" customHeight="1">
      <c r="A197" s="333">
        <f>A192+1</f>
        <v>8</v>
      </c>
      <c r="B197" s="90" t="s">
        <v>136</v>
      </c>
      <c r="C197" s="388" t="s">
        <v>135</v>
      </c>
      <c r="D197" s="13" t="s">
        <v>29</v>
      </c>
      <c r="E197" s="99">
        <v>1</v>
      </c>
      <c r="F197" s="14"/>
      <c r="G197" s="15">
        <v>1.1200000000000001</v>
      </c>
      <c r="H197" s="14"/>
      <c r="I197" s="16"/>
      <c r="J197" s="15">
        <v>0.47</v>
      </c>
      <c r="K197" s="17"/>
      <c r="L197" s="39"/>
      <c r="M197" s="40"/>
      <c r="N197" s="41"/>
      <c r="O197" s="42"/>
      <c r="P197" s="14"/>
      <c r="Q197" s="43"/>
      <c r="R197" s="22">
        <f>G198+J198</f>
        <v>3.3489255</v>
      </c>
      <c r="S197" s="387">
        <f>R197+R198</f>
        <v>27.125834930400007</v>
      </c>
      <c r="T197" s="389">
        <f>E197*S197</f>
        <v>27.125834930400007</v>
      </c>
      <c r="U197" s="249"/>
      <c r="V197" s="326"/>
      <c r="W197" s="326"/>
      <c r="X197" s="326">
        <f t="shared" si="4"/>
        <v>0</v>
      </c>
    </row>
    <row r="198" spans="1:24" s="45" customFormat="1" ht="10.5" customHeight="1">
      <c r="A198" s="338"/>
      <c r="B198" s="91"/>
      <c r="C198" s="384"/>
      <c r="D198" s="23"/>
      <c r="E198" s="100"/>
      <c r="F198" s="6"/>
      <c r="G198" s="131">
        <f>G197*$J$14/1000</f>
        <v>2.1301168000000001</v>
      </c>
      <c r="H198" s="142"/>
      <c r="I198" s="143"/>
      <c r="J198" s="131">
        <f>J197*$Q$14/1000</f>
        <v>1.2188087000000001</v>
      </c>
      <c r="K198" s="25"/>
      <c r="L198" s="390" t="s">
        <v>135</v>
      </c>
      <c r="M198" s="46" t="s">
        <v>29</v>
      </c>
      <c r="N198" s="47">
        <v>1</v>
      </c>
      <c r="O198" s="47">
        <f>E197*N198</f>
        <v>1</v>
      </c>
      <c r="P198" s="311">
        <f>6.944*3</f>
        <v>20.832000000000001</v>
      </c>
      <c r="Q198" s="184">
        <f>N198*P198*$N$12</f>
        <v>23.776909430400007</v>
      </c>
      <c r="R198" s="100">
        <f>SUM(Q198:Q198)</f>
        <v>23.776909430400007</v>
      </c>
      <c r="S198" s="385"/>
      <c r="T198" s="386"/>
      <c r="U198" s="249"/>
      <c r="V198" s="326"/>
      <c r="W198" s="326"/>
      <c r="X198" s="326">
        <f t="shared" si="4"/>
        <v>0</v>
      </c>
    </row>
    <row r="199" spans="1:24" s="45" customFormat="1" ht="12" hidden="1" customHeight="1">
      <c r="A199" s="338"/>
      <c r="B199" s="249"/>
      <c r="C199" s="384"/>
      <c r="D199" s="23"/>
      <c r="E199" s="100"/>
      <c r="F199" s="6"/>
      <c r="G199" s="2"/>
      <c r="H199" s="6"/>
      <c r="I199" s="24"/>
      <c r="J199" s="2"/>
      <c r="K199" s="25"/>
      <c r="L199" s="391"/>
      <c r="M199" s="185"/>
      <c r="N199" s="186"/>
      <c r="O199" s="250"/>
      <c r="P199" s="314"/>
      <c r="Q199" s="187"/>
      <c r="R199" s="100"/>
      <c r="S199" s="100"/>
      <c r="T199" s="27"/>
      <c r="U199" s="249"/>
      <c r="V199" s="326"/>
      <c r="W199" s="326"/>
      <c r="X199" s="326">
        <f t="shared" si="4"/>
        <v>0</v>
      </c>
    </row>
    <row r="200" spans="1:24" s="45" customFormat="1" ht="12" hidden="1" customHeight="1">
      <c r="A200" s="338"/>
      <c r="B200" s="249"/>
      <c r="C200" s="384"/>
      <c r="D200" s="23"/>
      <c r="E200" s="100"/>
      <c r="F200" s="6"/>
      <c r="G200" s="2"/>
      <c r="H200" s="6"/>
      <c r="I200" s="24"/>
      <c r="J200" s="2"/>
      <c r="K200" s="25"/>
      <c r="L200" s="402"/>
      <c r="M200" s="178"/>
      <c r="N200" s="179"/>
      <c r="O200" s="251"/>
      <c r="P200" s="312"/>
      <c r="Q200" s="180"/>
      <c r="R200" s="100"/>
      <c r="S200" s="100"/>
      <c r="T200" s="27"/>
      <c r="U200" s="249"/>
      <c r="V200" s="326"/>
      <c r="W200" s="326"/>
      <c r="X200" s="326">
        <f t="shared" si="4"/>
        <v>0</v>
      </c>
    </row>
    <row r="201" spans="1:24" s="45" customFormat="1" ht="12" hidden="1" customHeight="1">
      <c r="A201" s="338"/>
      <c r="B201" s="249"/>
      <c r="C201" s="384"/>
      <c r="D201" s="23"/>
      <c r="E201" s="100"/>
      <c r="F201" s="6"/>
      <c r="G201" s="2"/>
      <c r="H201" s="6"/>
      <c r="I201" s="24"/>
      <c r="J201" s="2"/>
      <c r="K201" s="25"/>
      <c r="L201" s="3"/>
      <c r="M201" s="1"/>
      <c r="N201" s="4"/>
      <c r="O201" s="5"/>
      <c r="P201" s="6"/>
      <c r="Q201" s="26"/>
      <c r="R201" s="100"/>
      <c r="S201" s="100"/>
      <c r="T201" s="27"/>
      <c r="U201" s="249"/>
      <c r="V201" s="326"/>
      <c r="W201" s="326"/>
      <c r="X201" s="326">
        <f t="shared" si="4"/>
        <v>0</v>
      </c>
    </row>
    <row r="202" spans="1:24" s="45" customFormat="1" ht="8.25" hidden="1" customHeight="1">
      <c r="A202" s="338"/>
      <c r="B202" s="249"/>
      <c r="C202" s="384"/>
      <c r="D202" s="23"/>
      <c r="E202" s="100"/>
      <c r="F202" s="6"/>
      <c r="G202" s="2"/>
      <c r="H202" s="6"/>
      <c r="I202" s="24"/>
      <c r="J202" s="2"/>
      <c r="K202" s="25"/>
      <c r="L202" s="3"/>
      <c r="M202" s="1"/>
      <c r="N202" s="4"/>
      <c r="O202" s="5"/>
      <c r="P202" s="6"/>
      <c r="Q202" s="26"/>
      <c r="R202" s="100"/>
      <c r="S202" s="100"/>
      <c r="T202" s="27"/>
      <c r="U202" s="249"/>
      <c r="V202" s="326"/>
      <c r="W202" s="326"/>
      <c r="X202" s="326">
        <f t="shared" si="4"/>
        <v>0</v>
      </c>
    </row>
    <row r="203" spans="1:24" s="45" customFormat="1" ht="12.75" customHeight="1">
      <c r="A203" s="339"/>
      <c r="B203" s="28"/>
      <c r="C203" s="29"/>
      <c r="D203" s="30"/>
      <c r="E203" s="88"/>
      <c r="F203" s="31"/>
      <c r="G203" s="32"/>
      <c r="H203" s="31"/>
      <c r="I203" s="33"/>
      <c r="J203" s="32"/>
      <c r="K203" s="34"/>
      <c r="L203" s="35"/>
      <c r="M203" s="36"/>
      <c r="N203" s="221"/>
      <c r="O203" s="222"/>
      <c r="P203" s="31"/>
      <c r="Q203" s="37"/>
      <c r="R203" s="88"/>
      <c r="S203" s="88"/>
      <c r="T203" s="38"/>
      <c r="U203" s="249"/>
      <c r="V203" s="326"/>
      <c r="W203" s="326"/>
      <c r="X203" s="326">
        <f t="shared" si="4"/>
        <v>0</v>
      </c>
    </row>
    <row r="204" spans="1:24" s="45" customFormat="1" ht="12" customHeight="1">
      <c r="A204" s="333">
        <f>A197+1</f>
        <v>9</v>
      </c>
      <c r="B204" s="90" t="s">
        <v>138</v>
      </c>
      <c r="C204" s="388" t="s">
        <v>137</v>
      </c>
      <c r="D204" s="13" t="s">
        <v>29</v>
      </c>
      <c r="E204" s="99">
        <v>1</v>
      </c>
      <c r="F204" s="14"/>
      <c r="G204" s="15">
        <v>2.29</v>
      </c>
      <c r="H204" s="14"/>
      <c r="I204" s="16"/>
      <c r="J204" s="15">
        <v>0.22</v>
      </c>
      <c r="K204" s="17"/>
      <c r="L204" s="39"/>
      <c r="M204" s="40"/>
      <c r="N204" s="41"/>
      <c r="O204" s="42"/>
      <c r="P204" s="14"/>
      <c r="Q204" s="43"/>
      <c r="R204" s="22">
        <f>G205+J205</f>
        <v>4.9258343</v>
      </c>
      <c r="S204" s="387">
        <f>R204+R205</f>
        <v>64.669428156800009</v>
      </c>
      <c r="T204" s="389">
        <f>E204*S204</f>
        <v>64.669428156800009</v>
      </c>
      <c r="U204" s="249"/>
      <c r="V204" s="326"/>
      <c r="W204" s="326"/>
      <c r="X204" s="326">
        <f t="shared" si="4"/>
        <v>0</v>
      </c>
    </row>
    <row r="205" spans="1:24" s="45" customFormat="1" ht="11.25" customHeight="1">
      <c r="A205" s="338"/>
      <c r="B205" s="91"/>
      <c r="C205" s="384"/>
      <c r="D205" s="23"/>
      <c r="E205" s="100"/>
      <c r="F205" s="6"/>
      <c r="G205" s="131">
        <f>G204*$J$14/1000</f>
        <v>4.3553281000000004</v>
      </c>
      <c r="H205" s="142"/>
      <c r="I205" s="143"/>
      <c r="J205" s="131">
        <f>J204*$Q$14/1000</f>
        <v>0.57050620000000007</v>
      </c>
      <c r="K205" s="25"/>
      <c r="L205" s="390" t="s">
        <v>137</v>
      </c>
      <c r="M205" s="46" t="s">
        <v>29</v>
      </c>
      <c r="N205" s="47">
        <v>1</v>
      </c>
      <c r="O205" s="47">
        <f>E204*N205</f>
        <v>1</v>
      </c>
      <c r="P205" s="311">
        <v>52.344000000000001</v>
      </c>
      <c r="Q205" s="184">
        <f>N205*P205*$N$12</f>
        <v>59.743593856800011</v>
      </c>
      <c r="R205" s="100">
        <f>SUM(Q205:Q205)</f>
        <v>59.743593856800011</v>
      </c>
      <c r="S205" s="385"/>
      <c r="T205" s="386"/>
      <c r="U205" s="249"/>
      <c r="V205" s="326"/>
      <c r="W205" s="326"/>
      <c r="X205" s="326">
        <f t="shared" si="4"/>
        <v>0</v>
      </c>
    </row>
    <row r="206" spans="1:24" s="45" customFormat="1" ht="12" hidden="1" customHeight="1">
      <c r="A206" s="338"/>
      <c r="B206" s="249"/>
      <c r="C206" s="384"/>
      <c r="D206" s="23"/>
      <c r="E206" s="100"/>
      <c r="F206" s="6"/>
      <c r="G206" s="2"/>
      <c r="H206" s="6"/>
      <c r="I206" s="24"/>
      <c r="J206" s="2"/>
      <c r="K206" s="25"/>
      <c r="L206" s="391"/>
      <c r="M206" s="185"/>
      <c r="N206" s="186"/>
      <c r="O206" s="250"/>
      <c r="P206" s="314"/>
      <c r="Q206" s="187"/>
      <c r="R206" s="100"/>
      <c r="S206" s="100"/>
      <c r="T206" s="27"/>
      <c r="U206" s="249"/>
      <c r="V206" s="326"/>
      <c r="W206" s="326"/>
      <c r="X206" s="326">
        <f t="shared" si="4"/>
        <v>0</v>
      </c>
    </row>
    <row r="207" spans="1:24" s="45" customFormat="1" ht="12" hidden="1" customHeight="1">
      <c r="A207" s="338"/>
      <c r="B207" s="249"/>
      <c r="C207" s="384"/>
      <c r="D207" s="23"/>
      <c r="E207" s="100"/>
      <c r="F207" s="6"/>
      <c r="G207" s="2"/>
      <c r="H207" s="6"/>
      <c r="I207" s="24"/>
      <c r="J207" s="2"/>
      <c r="K207" s="25"/>
      <c r="L207" s="402"/>
      <c r="M207" s="178"/>
      <c r="N207" s="179"/>
      <c r="O207" s="251"/>
      <c r="P207" s="312"/>
      <c r="Q207" s="180"/>
      <c r="R207" s="100"/>
      <c r="S207" s="100"/>
      <c r="T207" s="27"/>
      <c r="U207" s="249"/>
      <c r="V207" s="326"/>
      <c r="W207" s="326"/>
      <c r="X207" s="326">
        <f t="shared" si="4"/>
        <v>0</v>
      </c>
    </row>
    <row r="208" spans="1:24" s="45" customFormat="1" ht="12" hidden="1" customHeight="1">
      <c r="A208" s="338"/>
      <c r="B208" s="249"/>
      <c r="C208" s="384"/>
      <c r="D208" s="23"/>
      <c r="E208" s="100"/>
      <c r="F208" s="6"/>
      <c r="G208" s="2"/>
      <c r="H208" s="6"/>
      <c r="I208" s="24"/>
      <c r="J208" s="2"/>
      <c r="K208" s="25"/>
      <c r="L208" s="3"/>
      <c r="M208" s="1"/>
      <c r="N208" s="4"/>
      <c r="O208" s="5"/>
      <c r="P208" s="6"/>
      <c r="Q208" s="26"/>
      <c r="R208" s="100"/>
      <c r="S208" s="100"/>
      <c r="T208" s="27"/>
      <c r="U208" s="249"/>
      <c r="V208" s="326"/>
      <c r="W208" s="326"/>
      <c r="X208" s="326">
        <f t="shared" si="4"/>
        <v>0</v>
      </c>
    </row>
    <row r="209" spans="1:24" s="45" customFormat="1" ht="8.25" hidden="1" customHeight="1">
      <c r="A209" s="338"/>
      <c r="B209" s="249"/>
      <c r="C209" s="384"/>
      <c r="D209" s="23"/>
      <c r="E209" s="100"/>
      <c r="F209" s="6"/>
      <c r="G209" s="2"/>
      <c r="H209" s="6"/>
      <c r="I209" s="24"/>
      <c r="J209" s="2"/>
      <c r="K209" s="25"/>
      <c r="L209" s="3"/>
      <c r="M209" s="1"/>
      <c r="N209" s="4"/>
      <c r="O209" s="5"/>
      <c r="P209" s="6"/>
      <c r="Q209" s="26"/>
      <c r="R209" s="100"/>
      <c r="S209" s="100"/>
      <c r="T209" s="27"/>
      <c r="U209" s="249"/>
      <c r="V209" s="326"/>
      <c r="W209" s="326"/>
      <c r="X209" s="326">
        <f t="shared" si="4"/>
        <v>0</v>
      </c>
    </row>
    <row r="210" spans="1:24" s="45" customFormat="1" ht="14.25" customHeight="1">
      <c r="A210" s="339"/>
      <c r="B210" s="28"/>
      <c r="C210" s="29"/>
      <c r="D210" s="30"/>
      <c r="E210" s="88"/>
      <c r="F210" s="31"/>
      <c r="G210" s="32"/>
      <c r="H210" s="31"/>
      <c r="I210" s="33"/>
      <c r="J210" s="32"/>
      <c r="K210" s="34"/>
      <c r="L210" s="35"/>
      <c r="M210" s="36"/>
      <c r="N210" s="221"/>
      <c r="O210" s="222"/>
      <c r="P210" s="31"/>
      <c r="Q210" s="37"/>
      <c r="R210" s="88"/>
      <c r="S210" s="88"/>
      <c r="T210" s="38"/>
      <c r="U210" s="249"/>
      <c r="V210" s="326"/>
      <c r="W210" s="326"/>
      <c r="X210" s="326">
        <f t="shared" si="4"/>
        <v>0</v>
      </c>
    </row>
    <row r="211" spans="1:24" s="45" customFormat="1" ht="14.25" customHeight="1">
      <c r="A211" s="333">
        <f>A204+1</f>
        <v>10</v>
      </c>
      <c r="B211" s="90" t="s">
        <v>123</v>
      </c>
      <c r="C211" s="388" t="s">
        <v>139</v>
      </c>
      <c r="D211" s="13" t="s">
        <v>29</v>
      </c>
      <c r="E211" s="99">
        <v>5</v>
      </c>
      <c r="F211" s="14"/>
      <c r="G211" s="15">
        <v>7.89</v>
      </c>
      <c r="H211" s="14"/>
      <c r="I211" s="16"/>
      <c r="J211" s="15">
        <v>0.39</v>
      </c>
      <c r="K211" s="17"/>
      <c r="L211" s="39"/>
      <c r="M211" s="40"/>
      <c r="N211" s="41"/>
      <c r="O211" s="42"/>
      <c r="P211" s="14"/>
      <c r="Q211" s="43"/>
      <c r="R211" s="22">
        <f>G212+J212</f>
        <v>16.017264000000001</v>
      </c>
      <c r="S211" s="387">
        <f>R211+R212</f>
        <v>47.97547560000001</v>
      </c>
      <c r="T211" s="389">
        <f>E211*S211</f>
        <v>239.87737800000005</v>
      </c>
      <c r="U211" s="249"/>
      <c r="V211" s="326"/>
      <c r="W211" s="326"/>
      <c r="X211" s="326">
        <f t="shared" si="4"/>
        <v>0</v>
      </c>
    </row>
    <row r="212" spans="1:24" s="45" customFormat="1" ht="10.5" customHeight="1">
      <c r="A212" s="338"/>
      <c r="B212" s="91" t="s">
        <v>124</v>
      </c>
      <c r="C212" s="384"/>
      <c r="D212" s="23"/>
      <c r="E212" s="100"/>
      <c r="F212" s="6"/>
      <c r="G212" s="131">
        <f>G211*$J$14/1000</f>
        <v>15.0059121</v>
      </c>
      <c r="H212" s="142"/>
      <c r="I212" s="143"/>
      <c r="J212" s="131">
        <f>J211*$Q$14/1000</f>
        <v>1.0113519</v>
      </c>
      <c r="K212" s="25"/>
      <c r="L212" s="390" t="s">
        <v>140</v>
      </c>
      <c r="M212" s="46" t="s">
        <v>29</v>
      </c>
      <c r="N212" s="47">
        <v>1</v>
      </c>
      <c r="O212" s="47">
        <f>E211*N212</f>
        <v>5</v>
      </c>
      <c r="P212" s="311">
        <v>28</v>
      </c>
      <c r="Q212" s="184">
        <f>N212*P212*$N$12</f>
        <v>31.958211600000006</v>
      </c>
      <c r="R212" s="100">
        <f>SUM(Q212:Q212)</f>
        <v>31.958211600000006</v>
      </c>
      <c r="S212" s="385"/>
      <c r="T212" s="386"/>
      <c r="U212" s="249"/>
      <c r="V212" s="326"/>
      <c r="W212" s="326"/>
      <c r="X212" s="326">
        <f t="shared" si="4"/>
        <v>0</v>
      </c>
    </row>
    <row r="213" spans="1:24" s="45" customFormat="1" ht="12" hidden="1" customHeight="1">
      <c r="A213" s="338"/>
      <c r="B213" s="249"/>
      <c r="C213" s="384"/>
      <c r="D213" s="23"/>
      <c r="E213" s="100"/>
      <c r="F213" s="6"/>
      <c r="G213" s="2"/>
      <c r="H213" s="6"/>
      <c r="I213" s="24"/>
      <c r="J213" s="2"/>
      <c r="K213" s="25"/>
      <c r="L213" s="391"/>
      <c r="M213" s="185"/>
      <c r="N213" s="186"/>
      <c r="O213" s="250"/>
      <c r="P213" s="314"/>
      <c r="Q213" s="187"/>
      <c r="R213" s="100"/>
      <c r="S213" s="100"/>
      <c r="T213" s="27"/>
      <c r="U213" s="249"/>
      <c r="V213" s="326"/>
      <c r="W213" s="326"/>
      <c r="X213" s="326">
        <f t="shared" si="4"/>
        <v>0</v>
      </c>
    </row>
    <row r="214" spans="1:24" s="45" customFormat="1" ht="12" hidden="1" customHeight="1">
      <c r="A214" s="338"/>
      <c r="B214" s="249"/>
      <c r="C214" s="384"/>
      <c r="D214" s="23"/>
      <c r="E214" s="100"/>
      <c r="F214" s="6"/>
      <c r="G214" s="2"/>
      <c r="H214" s="6"/>
      <c r="I214" s="24"/>
      <c r="J214" s="2"/>
      <c r="K214" s="25"/>
      <c r="L214" s="402"/>
      <c r="M214" s="178"/>
      <c r="N214" s="179"/>
      <c r="O214" s="251"/>
      <c r="P214" s="312"/>
      <c r="Q214" s="180"/>
      <c r="R214" s="100"/>
      <c r="S214" s="100"/>
      <c r="T214" s="27"/>
      <c r="U214" s="249"/>
      <c r="V214" s="326"/>
      <c r="W214" s="326"/>
      <c r="X214" s="326">
        <f t="shared" si="4"/>
        <v>0</v>
      </c>
    </row>
    <row r="215" spans="1:24" s="45" customFormat="1" ht="13.5" customHeight="1">
      <c r="A215" s="339"/>
      <c r="B215" s="28"/>
      <c r="C215" s="29"/>
      <c r="D215" s="30"/>
      <c r="E215" s="88"/>
      <c r="F215" s="31"/>
      <c r="G215" s="32"/>
      <c r="H215" s="31"/>
      <c r="I215" s="33"/>
      <c r="J215" s="32"/>
      <c r="K215" s="34"/>
      <c r="L215" s="35"/>
      <c r="M215" s="36"/>
      <c r="N215" s="221"/>
      <c r="O215" s="222"/>
      <c r="P215" s="31"/>
      <c r="Q215" s="37"/>
      <c r="R215" s="88"/>
      <c r="S215" s="88"/>
      <c r="T215" s="38"/>
      <c r="U215" s="249"/>
      <c r="V215" s="326"/>
      <c r="W215" s="326"/>
      <c r="X215" s="326">
        <f t="shared" si="4"/>
        <v>0</v>
      </c>
    </row>
    <row r="216" spans="1:24" s="44" customFormat="1" ht="12.75" customHeight="1">
      <c r="A216" s="333">
        <f>A211+1</f>
        <v>11</v>
      </c>
      <c r="B216" s="91" t="s">
        <v>49</v>
      </c>
      <c r="C216" s="388" t="s">
        <v>141</v>
      </c>
      <c r="D216" s="13" t="s">
        <v>23</v>
      </c>
      <c r="E216" s="96">
        <v>0.51200000000000001</v>
      </c>
      <c r="F216" s="14"/>
      <c r="G216" s="15">
        <v>3.9</v>
      </c>
      <c r="H216" s="14"/>
      <c r="I216" s="16"/>
      <c r="J216" s="15">
        <v>2.9</v>
      </c>
      <c r="K216" s="17"/>
      <c r="L216" s="39"/>
      <c r="M216" s="40"/>
      <c r="N216" s="41"/>
      <c r="O216" s="42"/>
      <c r="P216" s="14"/>
      <c r="Q216" s="43"/>
      <c r="R216" s="22">
        <f>G217+J217</f>
        <v>14.93768</v>
      </c>
      <c r="S216" s="387">
        <f>R216+R217</f>
        <v>14.93768</v>
      </c>
      <c r="T216" s="389">
        <f>E216*S216</f>
        <v>7.64809216</v>
      </c>
      <c r="U216" s="346"/>
      <c r="V216" s="326"/>
      <c r="W216" s="326"/>
      <c r="X216" s="326">
        <f t="shared" si="4"/>
        <v>0</v>
      </c>
    </row>
    <row r="217" spans="1:24" s="44" customFormat="1" ht="12" customHeight="1">
      <c r="A217" s="338"/>
      <c r="B217" s="94"/>
      <c r="C217" s="384"/>
      <c r="D217" s="23"/>
      <c r="E217" s="100"/>
      <c r="F217" s="6"/>
      <c r="G217" s="131">
        <f>G216*$J$14/1000</f>
        <v>7.4173710000000002</v>
      </c>
      <c r="H217" s="142"/>
      <c r="I217" s="143"/>
      <c r="J217" s="131">
        <f>J216*$Q$14/1000</f>
        <v>7.5203090000000001</v>
      </c>
      <c r="K217" s="25"/>
      <c r="L217" s="177"/>
      <c r="M217" s="83"/>
      <c r="N217" s="79"/>
      <c r="O217" s="79"/>
      <c r="P217" s="311"/>
      <c r="Q217" s="48"/>
      <c r="R217" s="99">
        <f>SUM(Q217:Q217)</f>
        <v>0</v>
      </c>
      <c r="S217" s="385"/>
      <c r="T217" s="386"/>
      <c r="U217" s="346"/>
      <c r="V217" s="326"/>
      <c r="W217" s="326"/>
      <c r="X217" s="326">
        <f t="shared" si="4"/>
        <v>0</v>
      </c>
    </row>
    <row r="218" spans="1:24" s="44" customFormat="1" ht="12.75" customHeight="1">
      <c r="A218" s="339"/>
      <c r="B218" s="28"/>
      <c r="C218" s="29"/>
      <c r="D218" s="30"/>
      <c r="E218" s="88"/>
      <c r="F218" s="31"/>
      <c r="G218" s="32"/>
      <c r="H218" s="31"/>
      <c r="I218" s="33"/>
      <c r="J218" s="32"/>
      <c r="K218" s="34"/>
      <c r="L218" s="35"/>
      <c r="M218" s="36"/>
      <c r="N218" s="81"/>
      <c r="O218" s="82"/>
      <c r="P218" s="31"/>
      <c r="Q218" s="37"/>
      <c r="R218" s="88"/>
      <c r="S218" s="88"/>
      <c r="T218" s="38"/>
      <c r="U218" s="346"/>
      <c r="V218" s="326"/>
      <c r="W218" s="326"/>
      <c r="X218" s="326">
        <f t="shared" si="4"/>
        <v>0</v>
      </c>
    </row>
    <row r="219" spans="1:24" s="60" customFormat="1" ht="12.75" customHeight="1">
      <c r="A219" s="347">
        <f>A216+1</f>
        <v>12</v>
      </c>
      <c r="B219" s="348" t="s">
        <v>50</v>
      </c>
      <c r="C219" s="474" t="s">
        <v>142</v>
      </c>
      <c r="D219" s="349" t="s">
        <v>23</v>
      </c>
      <c r="E219" s="98">
        <v>0.51200000000000001</v>
      </c>
      <c r="F219" s="53"/>
      <c r="G219" s="62">
        <v>0.7</v>
      </c>
      <c r="H219" s="53"/>
      <c r="I219" s="54"/>
      <c r="J219" s="62">
        <v>0.28000000000000003</v>
      </c>
      <c r="K219" s="61"/>
      <c r="L219" s="55"/>
      <c r="M219" s="56"/>
      <c r="N219" s="57"/>
      <c r="O219" s="57"/>
      <c r="P219" s="322"/>
      <c r="Q219" s="58"/>
      <c r="R219" s="59">
        <f>G220+J220</f>
        <v>2.0574218000000002</v>
      </c>
      <c r="S219" s="476">
        <f>R219+R220</f>
        <v>35.818989626000011</v>
      </c>
      <c r="T219" s="478">
        <f>E219*S219</f>
        <v>18.339322688512006</v>
      </c>
      <c r="U219" s="350"/>
      <c r="V219" s="326"/>
      <c r="W219" s="326"/>
      <c r="X219" s="326">
        <f t="shared" si="4"/>
        <v>0</v>
      </c>
    </row>
    <row r="220" spans="1:24" s="60" customFormat="1" ht="12" customHeight="1">
      <c r="A220" s="351"/>
      <c r="B220" s="348" t="s">
        <v>48</v>
      </c>
      <c r="C220" s="475"/>
      <c r="D220" s="349"/>
      <c r="E220" s="98"/>
      <c r="F220" s="53"/>
      <c r="G220" s="131">
        <f>G219*$J$14/1000</f>
        <v>1.331323</v>
      </c>
      <c r="H220" s="142"/>
      <c r="I220" s="143"/>
      <c r="J220" s="131">
        <f>J219*$Q$14/1000</f>
        <v>0.72609880000000004</v>
      </c>
      <c r="K220" s="61"/>
      <c r="L220" s="76" t="s">
        <v>43</v>
      </c>
      <c r="M220" s="77" t="s">
        <v>23</v>
      </c>
      <c r="N220" s="78">
        <v>1.02</v>
      </c>
      <c r="O220" s="87">
        <f>E219*N220</f>
        <v>0.52224000000000004</v>
      </c>
      <c r="P220" s="323">
        <v>29</v>
      </c>
      <c r="Q220" s="184">
        <f>N220*P220*$N$12</f>
        <v>33.761567826000011</v>
      </c>
      <c r="R220" s="98">
        <f>SUM(Q220:Q220)</f>
        <v>33.761567826000011</v>
      </c>
      <c r="S220" s="477"/>
      <c r="T220" s="479"/>
      <c r="U220" s="350"/>
      <c r="V220" s="326"/>
      <c r="W220" s="326"/>
      <c r="X220" s="326">
        <f t="shared" si="4"/>
        <v>0</v>
      </c>
    </row>
    <row r="221" spans="1:24" s="60" customFormat="1" ht="12.75" hidden="1" customHeight="1">
      <c r="A221" s="351"/>
      <c r="B221" s="350"/>
      <c r="C221" s="475"/>
      <c r="D221" s="349"/>
      <c r="E221" s="98"/>
      <c r="F221" s="53"/>
      <c r="G221" s="62"/>
      <c r="H221" s="53"/>
      <c r="I221" s="54"/>
      <c r="J221" s="62"/>
      <c r="K221" s="61"/>
      <c r="L221" s="73"/>
      <c r="M221" s="74"/>
      <c r="N221" s="75"/>
      <c r="O221" s="75"/>
      <c r="P221" s="53"/>
      <c r="Q221" s="64"/>
      <c r="R221" s="98"/>
      <c r="S221" s="98"/>
      <c r="T221" s="63"/>
      <c r="U221" s="350"/>
      <c r="V221" s="326"/>
      <c r="W221" s="326"/>
      <c r="X221" s="326">
        <f t="shared" si="4"/>
        <v>0</v>
      </c>
    </row>
    <row r="222" spans="1:24" s="60" customFormat="1" ht="12.75" hidden="1" customHeight="1">
      <c r="A222" s="351"/>
      <c r="B222" s="350"/>
      <c r="C222" s="475"/>
      <c r="D222" s="349"/>
      <c r="E222" s="98"/>
      <c r="F222" s="53"/>
      <c r="G222" s="62"/>
      <c r="H222" s="53"/>
      <c r="I222" s="54"/>
      <c r="J222" s="62"/>
      <c r="K222" s="61"/>
      <c r="L222" s="73"/>
      <c r="M222" s="74"/>
      <c r="N222" s="75"/>
      <c r="O222" s="75"/>
      <c r="P222" s="53"/>
      <c r="Q222" s="64"/>
      <c r="R222" s="98"/>
      <c r="S222" s="98"/>
      <c r="T222" s="63"/>
      <c r="U222" s="350"/>
      <c r="V222" s="326"/>
      <c r="W222" s="326"/>
      <c r="X222" s="326">
        <f t="shared" si="4"/>
        <v>0</v>
      </c>
    </row>
    <row r="223" spans="1:24" s="60" customFormat="1" ht="12.75" customHeight="1">
      <c r="A223" s="352"/>
      <c r="B223" s="65"/>
      <c r="C223" s="66"/>
      <c r="D223" s="67"/>
      <c r="E223" s="68"/>
      <c r="F223" s="69"/>
      <c r="G223" s="70"/>
      <c r="H223" s="69"/>
      <c r="I223" s="71"/>
      <c r="J223" s="70"/>
      <c r="K223" s="72"/>
      <c r="L223" s="73"/>
      <c r="M223" s="74"/>
      <c r="N223" s="75"/>
      <c r="O223" s="75"/>
      <c r="P223" s="53"/>
      <c r="Q223" s="64"/>
      <c r="R223" s="98"/>
      <c r="S223" s="98"/>
      <c r="T223" s="63"/>
      <c r="U223" s="350"/>
      <c r="V223" s="326"/>
      <c r="W223" s="326"/>
      <c r="X223" s="326">
        <f t="shared" si="4"/>
        <v>0</v>
      </c>
    </row>
    <row r="224" spans="1:24" s="45" customFormat="1" ht="13.5" customHeight="1">
      <c r="A224" s="333">
        <f>A219+1</f>
        <v>13</v>
      </c>
      <c r="B224" s="90" t="s">
        <v>127</v>
      </c>
      <c r="C224" s="388" t="s">
        <v>143</v>
      </c>
      <c r="D224" s="13" t="s">
        <v>28</v>
      </c>
      <c r="E224" s="99">
        <f>0.25*3.14*2</f>
        <v>1.57</v>
      </c>
      <c r="F224" s="14"/>
      <c r="G224" s="15">
        <v>0.88</v>
      </c>
      <c r="H224" s="14"/>
      <c r="I224" s="16"/>
      <c r="J224" s="15">
        <v>0.04</v>
      </c>
      <c r="K224" s="17">
        <v>0.04</v>
      </c>
      <c r="L224" s="39"/>
      <c r="M224" s="40"/>
      <c r="N224" s="41"/>
      <c r="O224" s="42"/>
      <c r="P224" s="14"/>
      <c r="Q224" s="43"/>
      <c r="R224" s="22">
        <f>G225+J225</f>
        <v>1.7773916000000003</v>
      </c>
      <c r="S224" s="387">
        <f>R224+R225</f>
        <v>4.5965624090000006</v>
      </c>
      <c r="T224" s="389">
        <f>E224*S224</f>
        <v>7.2166029821300013</v>
      </c>
      <c r="U224" s="249"/>
      <c r="V224" s="326"/>
      <c r="W224" s="326"/>
      <c r="X224" s="326">
        <f t="shared" si="4"/>
        <v>0</v>
      </c>
    </row>
    <row r="225" spans="1:24" s="45" customFormat="1" ht="12.75" customHeight="1">
      <c r="A225" s="338"/>
      <c r="B225" s="91"/>
      <c r="C225" s="384"/>
      <c r="D225" s="23"/>
      <c r="E225" s="100"/>
      <c r="F225" s="6"/>
      <c r="G225" s="131">
        <f>G224*$J$14/1000</f>
        <v>1.6736632000000002</v>
      </c>
      <c r="H225" s="142"/>
      <c r="I225" s="143"/>
      <c r="J225" s="131">
        <f>J224*$Q$14/1000</f>
        <v>0.10372840000000001</v>
      </c>
      <c r="K225" s="25"/>
      <c r="L225" s="390" t="s">
        <v>158</v>
      </c>
      <c r="M225" s="46" t="s">
        <v>28</v>
      </c>
      <c r="N225" s="47">
        <v>1</v>
      </c>
      <c r="O225" s="47">
        <f>E224*N225</f>
        <v>1.57</v>
      </c>
      <c r="P225" s="311">
        <f>1.9*1.3</f>
        <v>2.4699999999999998</v>
      </c>
      <c r="Q225" s="184">
        <f>N225*P225*$N$12</f>
        <v>2.8191708090000005</v>
      </c>
      <c r="R225" s="100">
        <f>SUM(Q225:Q225)</f>
        <v>2.8191708090000005</v>
      </c>
      <c r="S225" s="385"/>
      <c r="T225" s="386"/>
      <c r="U225" s="249"/>
      <c r="V225" s="326"/>
      <c r="W225" s="326"/>
      <c r="X225" s="326">
        <f t="shared" si="4"/>
        <v>0</v>
      </c>
    </row>
    <row r="226" spans="1:24" s="45" customFormat="1" ht="13.5" hidden="1" customHeight="1">
      <c r="A226" s="338"/>
      <c r="B226" s="249"/>
      <c r="C226" s="384"/>
      <c r="D226" s="23"/>
      <c r="E226" s="100"/>
      <c r="F226" s="6"/>
      <c r="G226" s="2"/>
      <c r="H226" s="6"/>
      <c r="I226" s="24"/>
      <c r="J226" s="2"/>
      <c r="K226" s="25"/>
      <c r="L226" s="391"/>
      <c r="M226" s="185"/>
      <c r="N226" s="186"/>
      <c r="O226" s="250"/>
      <c r="P226" s="314"/>
      <c r="Q226" s="187"/>
      <c r="R226" s="100"/>
      <c r="S226" s="100"/>
      <c r="T226" s="27"/>
      <c r="U226" s="249"/>
      <c r="V226" s="326"/>
      <c r="W226" s="326"/>
      <c r="X226" s="326">
        <f t="shared" si="4"/>
        <v>0</v>
      </c>
    </row>
    <row r="227" spans="1:24" s="45" customFormat="1" ht="9.75" customHeight="1">
      <c r="A227" s="339"/>
      <c r="B227" s="28"/>
      <c r="C227" s="29"/>
      <c r="D227" s="30"/>
      <c r="E227" s="88"/>
      <c r="F227" s="31"/>
      <c r="G227" s="32"/>
      <c r="H227" s="31"/>
      <c r="I227" s="33"/>
      <c r="J227" s="32"/>
      <c r="K227" s="34"/>
      <c r="L227" s="35"/>
      <c r="M227" s="36"/>
      <c r="N227" s="221"/>
      <c r="O227" s="222"/>
      <c r="P227" s="31"/>
      <c r="Q227" s="37"/>
      <c r="R227" s="88"/>
      <c r="S227" s="88"/>
      <c r="T227" s="38"/>
      <c r="U227" s="249"/>
      <c r="V227" s="326"/>
      <c r="W227" s="326"/>
      <c r="X227" s="326">
        <f t="shared" si="4"/>
        <v>0</v>
      </c>
    </row>
    <row r="228" spans="1:24" ht="12.75" customHeight="1">
      <c r="A228" s="337">
        <f>A224+1</f>
        <v>14</v>
      </c>
      <c r="B228" s="170" t="s">
        <v>54</v>
      </c>
      <c r="C228" s="381" t="s">
        <v>145</v>
      </c>
      <c r="D228" s="141" t="s">
        <v>29</v>
      </c>
      <c r="E228" s="148">
        <v>25</v>
      </c>
      <c r="G228" s="150">
        <v>0.97</v>
      </c>
      <c r="I228" s="143"/>
      <c r="J228" s="150">
        <v>0.13</v>
      </c>
      <c r="K228" s="144"/>
      <c r="L228" s="134"/>
      <c r="M228" s="135"/>
      <c r="N228" s="136"/>
      <c r="O228" s="137"/>
      <c r="P228" s="130"/>
      <c r="Q228" s="138"/>
      <c r="R228" s="139">
        <f>G229+J229</f>
        <v>2.1819506</v>
      </c>
      <c r="S228" s="378">
        <f>R228+R229</f>
        <v>4.2364070600000003</v>
      </c>
      <c r="T228" s="382">
        <f>E228*S228</f>
        <v>105.91017650000001</v>
      </c>
      <c r="U228" s="149"/>
      <c r="V228" s="326"/>
      <c r="W228" s="326"/>
      <c r="X228" s="326">
        <f t="shared" ref="W228:X248" si="5">F228*W228</f>
        <v>0</v>
      </c>
    </row>
    <row r="229" spans="1:24" ht="12" customHeight="1">
      <c r="A229" s="334"/>
      <c r="B229" s="170" t="s">
        <v>55</v>
      </c>
      <c r="C229" s="381"/>
      <c r="E229" s="148"/>
      <c r="G229" s="131">
        <f>G228*$J$14/1000</f>
        <v>1.8448332999999999</v>
      </c>
      <c r="I229" s="143"/>
      <c r="J229" s="131">
        <f>J228*$Q$14/1000</f>
        <v>0.33711730000000001</v>
      </c>
      <c r="K229" s="144"/>
      <c r="L229" s="181" t="s">
        <v>145</v>
      </c>
      <c r="M229" s="252" t="s">
        <v>29</v>
      </c>
      <c r="N229" s="253">
        <v>1</v>
      </c>
      <c r="O229" s="253">
        <f>E228*N229</f>
        <v>25</v>
      </c>
      <c r="P229" s="313">
        <v>1.8</v>
      </c>
      <c r="Q229" s="184">
        <f>N229*P229*$N$12</f>
        <v>2.0544564600000004</v>
      </c>
      <c r="R229" s="148">
        <f>SUM(Q229:Q229)</f>
        <v>2.0544564600000004</v>
      </c>
      <c r="S229" s="379"/>
      <c r="T229" s="383"/>
      <c r="U229" s="149"/>
      <c r="V229" s="326"/>
      <c r="W229" s="326"/>
      <c r="X229" s="326">
        <f t="shared" si="5"/>
        <v>0</v>
      </c>
    </row>
    <row r="230" spans="1:24" ht="12.75" hidden="1" customHeight="1">
      <c r="A230" s="334"/>
      <c r="C230" s="381"/>
      <c r="E230" s="148"/>
      <c r="I230" s="143"/>
      <c r="K230" s="144"/>
      <c r="Q230" s="176"/>
      <c r="R230" s="148"/>
      <c r="S230" s="148"/>
      <c r="T230" s="155"/>
      <c r="U230" s="149"/>
      <c r="V230" s="326"/>
      <c r="W230" s="326"/>
      <c r="X230" s="326">
        <f t="shared" si="5"/>
        <v>0</v>
      </c>
    </row>
    <row r="231" spans="1:24" ht="12.75" customHeight="1">
      <c r="A231" s="335"/>
      <c r="B231" s="156"/>
      <c r="C231" s="157"/>
      <c r="D231" s="158"/>
      <c r="E231" s="159"/>
      <c r="F231" s="160"/>
      <c r="G231" s="161"/>
      <c r="H231" s="160"/>
      <c r="I231" s="162"/>
      <c r="J231" s="161"/>
      <c r="K231" s="163"/>
      <c r="Q231" s="176"/>
      <c r="R231" s="148"/>
      <c r="S231" s="148"/>
      <c r="T231" s="155"/>
      <c r="U231" s="149"/>
      <c r="V231" s="326"/>
      <c r="W231" s="326"/>
      <c r="X231" s="326">
        <f t="shared" si="5"/>
        <v>0</v>
      </c>
    </row>
    <row r="232" spans="1:24" ht="12.75" customHeight="1">
      <c r="A232" s="337">
        <f>A224+1</f>
        <v>14</v>
      </c>
      <c r="B232" s="170" t="s">
        <v>54</v>
      </c>
      <c r="C232" s="381" t="s">
        <v>144</v>
      </c>
      <c r="D232" s="141" t="s">
        <v>29</v>
      </c>
      <c r="E232" s="148">
        <v>8</v>
      </c>
      <c r="G232" s="150">
        <v>0.97</v>
      </c>
      <c r="I232" s="143"/>
      <c r="J232" s="150">
        <v>0.13</v>
      </c>
      <c r="K232" s="144"/>
      <c r="L232" s="134"/>
      <c r="M232" s="135"/>
      <c r="N232" s="136"/>
      <c r="O232" s="137"/>
      <c r="P232" s="130"/>
      <c r="Q232" s="138"/>
      <c r="R232" s="139">
        <f>G233+J233</f>
        <v>2.1819506</v>
      </c>
      <c r="S232" s="378">
        <f>R232+R233</f>
        <v>4.6929529400000005</v>
      </c>
      <c r="T232" s="382">
        <f>E232*S232</f>
        <v>37.543623520000004</v>
      </c>
      <c r="U232" s="149"/>
      <c r="V232" s="326"/>
      <c r="W232" s="326"/>
      <c r="X232" s="326">
        <f t="shared" si="5"/>
        <v>0</v>
      </c>
    </row>
    <row r="233" spans="1:24" ht="12" customHeight="1">
      <c r="A233" s="334"/>
      <c r="B233" s="170" t="s">
        <v>55</v>
      </c>
      <c r="C233" s="381"/>
      <c r="E233" s="148"/>
      <c r="G233" s="131">
        <f>G232*$J$14/1000</f>
        <v>1.8448332999999999</v>
      </c>
      <c r="I233" s="143"/>
      <c r="J233" s="131">
        <f>J232*$Q$14/1000</f>
        <v>0.33711730000000001</v>
      </c>
      <c r="K233" s="144"/>
      <c r="L233" s="181" t="s">
        <v>85</v>
      </c>
      <c r="M233" s="182" t="s">
        <v>29</v>
      </c>
      <c r="N233" s="183">
        <v>1</v>
      </c>
      <c r="O233" s="183">
        <f>E232*N233</f>
        <v>8</v>
      </c>
      <c r="P233" s="313">
        <v>2.2000000000000002</v>
      </c>
      <c r="Q233" s="184">
        <f>N233*P233*$N$12</f>
        <v>2.5110023400000006</v>
      </c>
      <c r="R233" s="148">
        <f>SUM(Q233:Q233)</f>
        <v>2.5110023400000006</v>
      </c>
      <c r="S233" s="379"/>
      <c r="T233" s="383"/>
      <c r="U233" s="149"/>
      <c r="V233" s="326"/>
      <c r="W233" s="326"/>
      <c r="X233" s="326">
        <f t="shared" si="5"/>
        <v>0</v>
      </c>
    </row>
    <row r="234" spans="1:24" ht="12.75" hidden="1" customHeight="1">
      <c r="A234" s="334"/>
      <c r="C234" s="381"/>
      <c r="E234" s="148"/>
      <c r="I234" s="143"/>
      <c r="K234" s="144"/>
      <c r="Q234" s="176"/>
      <c r="R234" s="148"/>
      <c r="S234" s="148"/>
      <c r="T234" s="155"/>
      <c r="U234" s="149"/>
      <c r="V234" s="326"/>
      <c r="W234" s="326"/>
      <c r="X234" s="326">
        <f t="shared" si="5"/>
        <v>0</v>
      </c>
    </row>
    <row r="235" spans="1:24" ht="9" customHeight="1">
      <c r="A235" s="335"/>
      <c r="B235" s="156"/>
      <c r="C235" s="157"/>
      <c r="D235" s="158"/>
      <c r="E235" s="159"/>
      <c r="F235" s="160"/>
      <c r="G235" s="161"/>
      <c r="H235" s="160"/>
      <c r="I235" s="162"/>
      <c r="J235" s="161"/>
      <c r="K235" s="163"/>
      <c r="Q235" s="176"/>
      <c r="R235" s="148"/>
      <c r="S235" s="148"/>
      <c r="T235" s="155"/>
      <c r="U235" s="149"/>
      <c r="V235" s="326"/>
      <c r="W235" s="326"/>
      <c r="X235" s="326">
        <f t="shared" si="5"/>
        <v>0</v>
      </c>
    </row>
    <row r="236" spans="1:24" ht="12.75" customHeight="1">
      <c r="A236" s="337">
        <f>A232+1</f>
        <v>15</v>
      </c>
      <c r="B236" s="170" t="s">
        <v>54</v>
      </c>
      <c r="C236" s="381" t="s">
        <v>146</v>
      </c>
      <c r="D236" s="141" t="s">
        <v>29</v>
      </c>
      <c r="E236" s="148">
        <v>25</v>
      </c>
      <c r="G236" s="150">
        <v>0.97</v>
      </c>
      <c r="I236" s="143"/>
      <c r="J236" s="150">
        <v>0.13</v>
      </c>
      <c r="K236" s="144"/>
      <c r="L236" s="134"/>
      <c r="M236" s="135"/>
      <c r="N236" s="136"/>
      <c r="O236" s="137"/>
      <c r="P236" s="130"/>
      <c r="Q236" s="138"/>
      <c r="R236" s="139">
        <f>G237+J237</f>
        <v>2.1819506</v>
      </c>
      <c r="S236" s="378">
        <f>R236+R237</f>
        <v>5.2636352900000007</v>
      </c>
      <c r="T236" s="382">
        <f>E236*S236</f>
        <v>131.59088225000002</v>
      </c>
      <c r="U236" s="149"/>
      <c r="V236" s="326"/>
      <c r="W236" s="326"/>
      <c r="X236" s="326">
        <f t="shared" si="5"/>
        <v>0</v>
      </c>
    </row>
    <row r="237" spans="1:24" ht="15.75" customHeight="1">
      <c r="A237" s="334"/>
      <c r="B237" s="170" t="s">
        <v>55</v>
      </c>
      <c r="C237" s="381"/>
      <c r="E237" s="148"/>
      <c r="G237" s="131">
        <f>G236*$J$14/1000</f>
        <v>1.8448332999999999</v>
      </c>
      <c r="I237" s="143"/>
      <c r="J237" s="131">
        <f>J236*$Q$14/1000</f>
        <v>0.33711730000000001</v>
      </c>
      <c r="K237" s="144"/>
      <c r="L237" s="181" t="s">
        <v>146</v>
      </c>
      <c r="M237" s="252" t="s">
        <v>29</v>
      </c>
      <c r="N237" s="253">
        <v>1</v>
      </c>
      <c r="O237" s="253">
        <f>E236*N237</f>
        <v>25</v>
      </c>
      <c r="P237" s="313">
        <v>2.7</v>
      </c>
      <c r="Q237" s="184">
        <f>N237*P237*$N$12</f>
        <v>3.0816846900000008</v>
      </c>
      <c r="R237" s="148">
        <f>SUM(Q237:Q237)</f>
        <v>3.0816846900000008</v>
      </c>
      <c r="S237" s="379"/>
      <c r="T237" s="383"/>
      <c r="U237" s="149"/>
      <c r="V237" s="326"/>
      <c r="W237" s="326"/>
      <c r="X237" s="326">
        <f t="shared" si="5"/>
        <v>0</v>
      </c>
    </row>
    <row r="238" spans="1:24" ht="12.75" hidden="1" customHeight="1">
      <c r="A238" s="334"/>
      <c r="C238" s="381"/>
      <c r="E238" s="148"/>
      <c r="I238" s="143"/>
      <c r="K238" s="144"/>
      <c r="Q238" s="176"/>
      <c r="R238" s="148"/>
      <c r="S238" s="148"/>
      <c r="T238" s="155"/>
      <c r="U238" s="149"/>
      <c r="V238" s="326"/>
      <c r="W238" s="326"/>
      <c r="X238" s="326">
        <f t="shared" si="5"/>
        <v>0</v>
      </c>
    </row>
    <row r="239" spans="1:24" ht="12.75" customHeight="1">
      <c r="A239" s="335"/>
      <c r="B239" s="156"/>
      <c r="C239" s="157"/>
      <c r="D239" s="158"/>
      <c r="E239" s="159"/>
      <c r="F239" s="160"/>
      <c r="G239" s="161"/>
      <c r="H239" s="160"/>
      <c r="I239" s="162"/>
      <c r="J239" s="161"/>
      <c r="K239" s="163"/>
      <c r="Q239" s="176"/>
      <c r="R239" s="148"/>
      <c r="S239" s="148"/>
      <c r="T239" s="155"/>
      <c r="U239" s="149"/>
      <c r="V239" s="326"/>
      <c r="W239" s="326"/>
      <c r="X239" s="326">
        <f t="shared" si="5"/>
        <v>0</v>
      </c>
    </row>
    <row r="240" spans="1:24" ht="12.75" customHeight="1">
      <c r="A240" s="337">
        <f>A236+1</f>
        <v>16</v>
      </c>
      <c r="B240" s="170" t="s">
        <v>54</v>
      </c>
      <c r="C240" s="381" t="s">
        <v>147</v>
      </c>
      <c r="D240" s="141" t="s">
        <v>29</v>
      </c>
      <c r="E240" s="148">
        <v>1</v>
      </c>
      <c r="G240" s="150">
        <v>0.97</v>
      </c>
      <c r="I240" s="143"/>
      <c r="J240" s="150">
        <v>0.13</v>
      </c>
      <c r="K240" s="144"/>
      <c r="L240" s="134"/>
      <c r="M240" s="135"/>
      <c r="N240" s="136"/>
      <c r="O240" s="137"/>
      <c r="P240" s="130"/>
      <c r="Q240" s="138"/>
      <c r="R240" s="139">
        <f>G241+J241</f>
        <v>2.1819506</v>
      </c>
      <c r="S240" s="378">
        <f>R240+R241</f>
        <v>4.6929529400000005</v>
      </c>
      <c r="T240" s="382">
        <f>E240*S240</f>
        <v>4.6929529400000005</v>
      </c>
      <c r="U240" s="149"/>
      <c r="V240" s="326"/>
      <c r="W240" s="326"/>
      <c r="X240" s="326">
        <f t="shared" si="5"/>
        <v>0</v>
      </c>
    </row>
    <row r="241" spans="1:24" ht="11.25" customHeight="1">
      <c r="A241" s="334"/>
      <c r="B241" s="170" t="s">
        <v>55</v>
      </c>
      <c r="C241" s="381"/>
      <c r="E241" s="148"/>
      <c r="G241" s="131">
        <f>G240*$J$14/1000</f>
        <v>1.8448332999999999</v>
      </c>
      <c r="I241" s="143"/>
      <c r="J241" s="131">
        <f>J240*$Q$14/1000</f>
        <v>0.33711730000000001</v>
      </c>
      <c r="K241" s="144"/>
      <c r="L241" s="181" t="s">
        <v>85</v>
      </c>
      <c r="M241" s="182" t="s">
        <v>29</v>
      </c>
      <c r="N241" s="183">
        <v>1</v>
      </c>
      <c r="O241" s="183">
        <f>E240*N241</f>
        <v>1</v>
      </c>
      <c r="P241" s="313">
        <v>2.2000000000000002</v>
      </c>
      <c r="Q241" s="184">
        <f>N241*P241*$N$12</f>
        <v>2.5110023400000006</v>
      </c>
      <c r="R241" s="148">
        <f>SUM(Q241:Q241)</f>
        <v>2.5110023400000006</v>
      </c>
      <c r="S241" s="379"/>
      <c r="T241" s="383"/>
      <c r="U241" s="149"/>
      <c r="V241" s="326"/>
      <c r="W241" s="326"/>
      <c r="X241" s="326">
        <f t="shared" si="5"/>
        <v>0</v>
      </c>
    </row>
    <row r="242" spans="1:24" ht="12.75" hidden="1" customHeight="1">
      <c r="A242" s="334"/>
      <c r="C242" s="381"/>
      <c r="E242" s="148"/>
      <c r="I242" s="143"/>
      <c r="K242" s="144"/>
      <c r="Q242" s="176"/>
      <c r="R242" s="148"/>
      <c r="S242" s="148"/>
      <c r="T242" s="155"/>
      <c r="U242" s="149"/>
      <c r="V242" s="326"/>
      <c r="W242" s="326"/>
      <c r="X242" s="326">
        <f t="shared" si="5"/>
        <v>0</v>
      </c>
    </row>
    <row r="243" spans="1:24" ht="12.75" customHeight="1">
      <c r="A243" s="335"/>
      <c r="B243" s="156"/>
      <c r="C243" s="157"/>
      <c r="D243" s="158"/>
      <c r="E243" s="159"/>
      <c r="F243" s="160"/>
      <c r="G243" s="161"/>
      <c r="H243" s="160"/>
      <c r="I243" s="162"/>
      <c r="J243" s="161"/>
      <c r="K243" s="163"/>
      <c r="Q243" s="176"/>
      <c r="R243" s="148"/>
      <c r="S243" s="148"/>
      <c r="T243" s="155"/>
      <c r="U243" s="149"/>
      <c r="V243" s="326"/>
      <c r="W243" s="326"/>
      <c r="X243" s="326">
        <f t="shared" si="5"/>
        <v>0</v>
      </c>
    </row>
    <row r="244" spans="1:24" s="201" customFormat="1" ht="12.75" customHeight="1">
      <c r="A244" s="340">
        <f>A240+1</f>
        <v>17</v>
      </c>
      <c r="B244" s="341" t="s">
        <v>56</v>
      </c>
      <c r="C244" s="400" t="s">
        <v>148</v>
      </c>
      <c r="D244" s="342" t="s">
        <v>24</v>
      </c>
      <c r="E244" s="206">
        <f>3/100</f>
        <v>0.03</v>
      </c>
      <c r="F244" s="319"/>
      <c r="G244" s="194">
        <v>38.4</v>
      </c>
      <c r="H244" s="319"/>
      <c r="I244" s="193"/>
      <c r="J244" s="194">
        <v>0.03</v>
      </c>
      <c r="K244" s="195"/>
      <c r="L244" s="196"/>
      <c r="M244" s="197"/>
      <c r="N244" s="198"/>
      <c r="O244" s="198"/>
      <c r="P244" s="317"/>
      <c r="Q244" s="199"/>
      <c r="R244" s="200">
        <f>G245+J245</f>
        <v>73.110372300000009</v>
      </c>
      <c r="S244" s="374">
        <f>R244+R245</f>
        <v>104.89281373620001</v>
      </c>
      <c r="T244" s="376">
        <f>E244*S244</f>
        <v>3.1467844120860002</v>
      </c>
      <c r="U244" s="343"/>
      <c r="V244" s="326"/>
      <c r="W244" s="326"/>
      <c r="X244" s="326">
        <f t="shared" si="5"/>
        <v>0</v>
      </c>
    </row>
    <row r="245" spans="1:24" s="201" customFormat="1" ht="12" customHeight="1">
      <c r="A245" s="344"/>
      <c r="B245" s="341" t="s">
        <v>58</v>
      </c>
      <c r="C245" s="401"/>
      <c r="D245" s="342"/>
      <c r="E245" s="206"/>
      <c r="F245" s="319"/>
      <c r="G245" s="131">
        <f>G244*$J$14/1000</f>
        <v>73.032576000000006</v>
      </c>
      <c r="H245" s="142"/>
      <c r="I245" s="143"/>
      <c r="J245" s="131">
        <f>J244*$Q$14/1000</f>
        <v>7.7796299999999999E-2</v>
      </c>
      <c r="K245" s="195"/>
      <c r="L245" s="202" t="s">
        <v>47</v>
      </c>
      <c r="M245" s="203" t="s">
        <v>30</v>
      </c>
      <c r="N245" s="204">
        <v>27.3</v>
      </c>
      <c r="O245" s="205">
        <f>E244*N245</f>
        <v>0.81899999999999995</v>
      </c>
      <c r="P245" s="318">
        <v>1.02</v>
      </c>
      <c r="Q245" s="184">
        <f>N245*P245*$N$12</f>
        <v>31.782441436200006</v>
      </c>
      <c r="R245" s="206">
        <f>SUM(Q245:Q245)</f>
        <v>31.782441436200006</v>
      </c>
      <c r="S245" s="375"/>
      <c r="T245" s="377"/>
      <c r="U245" s="343"/>
      <c r="V245" s="326">
        <f t="shared" ref="V228:V248" si="6">S245*$V$13</f>
        <v>0</v>
      </c>
      <c r="W245" s="326">
        <f t="shared" si="5"/>
        <v>0</v>
      </c>
      <c r="X245" s="326">
        <f t="shared" si="5"/>
        <v>0</v>
      </c>
    </row>
    <row r="246" spans="1:24" s="201" customFormat="1" ht="12.75" hidden="1" customHeight="1">
      <c r="A246" s="344"/>
      <c r="B246" s="343"/>
      <c r="C246" s="401"/>
      <c r="D246" s="342"/>
      <c r="E246" s="206"/>
      <c r="F246" s="319"/>
      <c r="G246" s="194"/>
      <c r="H246" s="319"/>
      <c r="I246" s="193"/>
      <c r="J246" s="194"/>
      <c r="K246" s="195"/>
      <c r="L246" s="217"/>
      <c r="M246" s="218"/>
      <c r="N246" s="219"/>
      <c r="O246" s="219"/>
      <c r="P246" s="319"/>
      <c r="Q246" s="207"/>
      <c r="R246" s="206"/>
      <c r="S246" s="206"/>
      <c r="T246" s="208"/>
      <c r="U246" s="343"/>
      <c r="V246" s="326">
        <f t="shared" si="6"/>
        <v>0</v>
      </c>
      <c r="W246" s="326">
        <f t="shared" si="5"/>
        <v>0</v>
      </c>
      <c r="X246" s="326">
        <f t="shared" si="5"/>
        <v>0</v>
      </c>
    </row>
    <row r="247" spans="1:24" s="201" customFormat="1" ht="12.75" hidden="1" customHeight="1">
      <c r="A247" s="344"/>
      <c r="B247" s="343"/>
      <c r="C247" s="401"/>
      <c r="D247" s="342"/>
      <c r="E247" s="206"/>
      <c r="F247" s="319"/>
      <c r="G247" s="194"/>
      <c r="H247" s="319"/>
      <c r="I247" s="193"/>
      <c r="J247" s="194"/>
      <c r="K247" s="195"/>
      <c r="L247" s="217"/>
      <c r="M247" s="218"/>
      <c r="N247" s="219"/>
      <c r="O247" s="219"/>
      <c r="P247" s="319"/>
      <c r="Q247" s="207"/>
      <c r="R247" s="206"/>
      <c r="S247" s="206"/>
      <c r="T247" s="208"/>
      <c r="U247" s="343"/>
      <c r="V247" s="326">
        <f t="shared" si="6"/>
        <v>0</v>
      </c>
      <c r="W247" s="326">
        <f t="shared" si="5"/>
        <v>0</v>
      </c>
      <c r="X247" s="326">
        <f t="shared" si="5"/>
        <v>0</v>
      </c>
    </row>
    <row r="248" spans="1:24" s="201" customFormat="1" ht="12.75" customHeight="1">
      <c r="A248" s="345"/>
      <c r="B248" s="209"/>
      <c r="C248" s="210"/>
      <c r="D248" s="211"/>
      <c r="E248" s="212"/>
      <c r="F248" s="213"/>
      <c r="G248" s="214"/>
      <c r="H248" s="213"/>
      <c r="I248" s="215"/>
      <c r="J248" s="214"/>
      <c r="K248" s="216"/>
      <c r="L248" s="217"/>
      <c r="M248" s="218"/>
      <c r="N248" s="219"/>
      <c r="O248" s="219"/>
      <c r="P248" s="319"/>
      <c r="Q248" s="207"/>
      <c r="R248" s="206"/>
      <c r="S248" s="206"/>
      <c r="T248" s="208"/>
      <c r="U248" s="343"/>
      <c r="V248" s="326">
        <f t="shared" si="6"/>
        <v>0</v>
      </c>
      <c r="W248" s="326">
        <f t="shared" si="5"/>
        <v>0</v>
      </c>
      <c r="X248" s="326">
        <f t="shared" si="5"/>
        <v>0</v>
      </c>
    </row>
    <row r="249" spans="1:24" s="150" customFormat="1" ht="12.75" customHeight="1">
      <c r="A249" s="353"/>
      <c r="B249" s="223"/>
      <c r="C249" s="224" t="s">
        <v>26</v>
      </c>
      <c r="D249" s="225"/>
      <c r="E249" s="226"/>
      <c r="F249" s="227"/>
      <c r="G249" s="228"/>
      <c r="H249" s="227"/>
      <c r="I249" s="229"/>
      <c r="J249" s="228"/>
      <c r="K249" s="230"/>
      <c r="L249" s="231"/>
      <c r="M249" s="232"/>
      <c r="N249" s="233"/>
      <c r="O249" s="234"/>
      <c r="P249" s="227"/>
      <c r="Q249" s="228"/>
      <c r="R249" s="234"/>
      <c r="S249" s="234"/>
      <c r="T249" s="235">
        <f>SUM(T164:T248)</f>
        <v>2214.2666897300669</v>
      </c>
      <c r="U249" s="149"/>
      <c r="V249" s="234"/>
      <c r="W249" s="354">
        <f>SUM(W164:W248)</f>
        <v>0</v>
      </c>
      <c r="X249" s="482">
        <v>0.2369</v>
      </c>
    </row>
    <row r="250" spans="1:24" s="150" customFormat="1" ht="12.75" customHeight="1">
      <c r="A250" s="353"/>
      <c r="B250" s="223"/>
      <c r="C250" s="254">
        <v>3</v>
      </c>
      <c r="D250" s="225"/>
      <c r="E250" s="226"/>
      <c r="F250" s="227"/>
      <c r="G250" s="228"/>
      <c r="H250" s="227"/>
      <c r="I250" s="229"/>
      <c r="J250" s="228"/>
      <c r="K250" s="230"/>
      <c r="L250" s="231"/>
      <c r="M250" s="232"/>
      <c r="N250" s="233"/>
      <c r="O250" s="234"/>
      <c r="P250" s="227"/>
      <c r="Q250" s="228"/>
      <c r="R250" s="234"/>
      <c r="S250" s="234"/>
      <c r="T250" s="235"/>
      <c r="U250" s="149"/>
      <c r="V250" s="234"/>
      <c r="W250" s="354"/>
      <c r="X250" s="354"/>
    </row>
    <row r="251" spans="1:24" s="45" customFormat="1" ht="12.75" customHeight="1">
      <c r="A251" s="337">
        <f>1</f>
        <v>1</v>
      </c>
      <c r="B251" s="91" t="s">
        <v>119</v>
      </c>
      <c r="C251" s="384" t="s">
        <v>116</v>
      </c>
      <c r="D251" s="23" t="s">
        <v>28</v>
      </c>
      <c r="E251" s="89">
        <v>300</v>
      </c>
      <c r="F251" s="6"/>
      <c r="G251" s="2">
        <f>10.7/100</f>
        <v>0.107</v>
      </c>
      <c r="H251" s="6"/>
      <c r="I251" s="24"/>
      <c r="J251" s="2">
        <f>1.3/100</f>
        <v>1.3000000000000001E-2</v>
      </c>
      <c r="K251" s="25"/>
      <c r="L251" s="3"/>
      <c r="M251" s="1"/>
      <c r="N251" s="4"/>
      <c r="O251" s="5"/>
      <c r="P251" s="6"/>
      <c r="Q251" s="26"/>
      <c r="R251" s="88">
        <f>G252+J252</f>
        <v>0.23721396</v>
      </c>
      <c r="S251" s="385">
        <f>R251+R252</f>
        <v>1.7251343055456905</v>
      </c>
      <c r="T251" s="386">
        <f>E251*S251</f>
        <v>517.54029166370719</v>
      </c>
      <c r="U251" s="249"/>
      <c r="V251" s="326"/>
      <c r="W251" s="326"/>
      <c r="X251" s="326">
        <f t="shared" ref="W251:X258" si="7">F251*W251</f>
        <v>0</v>
      </c>
    </row>
    <row r="252" spans="1:24" s="45" customFormat="1" ht="12.75" customHeight="1">
      <c r="A252" s="338"/>
      <c r="B252" s="91" t="s">
        <v>115</v>
      </c>
      <c r="C252" s="384"/>
      <c r="D252" s="23"/>
      <c r="E252" s="89"/>
      <c r="F252" s="6"/>
      <c r="G252" s="131">
        <f>G251*$J$14/1000</f>
        <v>0.20350223000000001</v>
      </c>
      <c r="H252" s="142"/>
      <c r="I252" s="143"/>
      <c r="J252" s="131">
        <f>J251*$Q$14/1000</f>
        <v>3.3711730000000002E-2</v>
      </c>
      <c r="K252" s="25"/>
      <c r="L252" s="177" t="s">
        <v>118</v>
      </c>
      <c r="M252" s="46" t="s">
        <v>28</v>
      </c>
      <c r="N252" s="47">
        <f>111/100</f>
        <v>1.1100000000000001</v>
      </c>
      <c r="O252" s="47">
        <f>E251*N252</f>
        <v>333.00000000000006</v>
      </c>
      <c r="P252" s="311">
        <v>0.9</v>
      </c>
      <c r="Q252" s="184">
        <f>N252*P252*$N$12</f>
        <v>1.1402233353000004</v>
      </c>
      <c r="R252" s="387">
        <f>SUM(Q252:Q253)</f>
        <v>1.4879203455456904</v>
      </c>
      <c r="S252" s="385"/>
      <c r="T252" s="386"/>
      <c r="U252" s="249"/>
      <c r="V252" s="326"/>
      <c r="W252" s="326"/>
      <c r="X252" s="326">
        <f t="shared" si="7"/>
        <v>0</v>
      </c>
    </row>
    <row r="253" spans="1:24" s="45" customFormat="1" ht="27.75" hidden="1" customHeight="1">
      <c r="A253" s="338"/>
      <c r="B253" s="249"/>
      <c r="C253" s="384"/>
      <c r="D253" s="23"/>
      <c r="E253" s="89"/>
      <c r="F253" s="6"/>
      <c r="G253" s="2"/>
      <c r="H253" s="6"/>
      <c r="I253" s="24"/>
      <c r="J253" s="2"/>
      <c r="K253" s="25"/>
      <c r="L253" s="49" t="s">
        <v>120</v>
      </c>
      <c r="M253" s="80" t="s">
        <v>25</v>
      </c>
      <c r="N253" s="97">
        <f>(0.13+0.06)/100</f>
        <v>1.9E-3</v>
      </c>
      <c r="O253" s="95">
        <f>E251*N253</f>
        <v>0.56999999999999995</v>
      </c>
      <c r="P253" s="321">
        <v>160.333</v>
      </c>
      <c r="Q253" s="154">
        <f>N253*P253*$N$12</f>
        <v>0.34769701024569005</v>
      </c>
      <c r="R253" s="385"/>
      <c r="S253" s="385"/>
      <c r="T253" s="386"/>
      <c r="U253" s="249"/>
      <c r="V253" s="326"/>
      <c r="W253" s="326"/>
      <c r="X253" s="326">
        <f t="shared" si="7"/>
        <v>0</v>
      </c>
    </row>
    <row r="254" spans="1:24" s="45" customFormat="1" ht="14.25" customHeight="1">
      <c r="A254" s="339"/>
      <c r="B254" s="28"/>
      <c r="C254" s="29"/>
      <c r="D254" s="30"/>
      <c r="E254" s="255"/>
      <c r="F254" s="31"/>
      <c r="G254" s="32"/>
      <c r="H254" s="31"/>
      <c r="I254" s="33"/>
      <c r="J254" s="32"/>
      <c r="K254" s="34"/>
      <c r="L254" s="35"/>
      <c r="M254" s="36"/>
      <c r="N254" s="221"/>
      <c r="O254" s="222"/>
      <c r="P254" s="31"/>
      <c r="Q254" s="37"/>
      <c r="R254" s="88"/>
      <c r="S254" s="88"/>
      <c r="T254" s="38"/>
      <c r="U254" s="249"/>
      <c r="V254" s="326"/>
      <c r="W254" s="326"/>
      <c r="X254" s="326">
        <f t="shared" si="7"/>
        <v>0</v>
      </c>
    </row>
    <row r="255" spans="1:24" s="269" customFormat="1" ht="12.75" customHeight="1">
      <c r="A255" s="357">
        <f>A251+1</f>
        <v>2</v>
      </c>
      <c r="B255" s="256" t="s">
        <v>121</v>
      </c>
      <c r="C255" s="392" t="s">
        <v>117</v>
      </c>
      <c r="D255" s="257" t="s">
        <v>23</v>
      </c>
      <c r="E255" s="268">
        <f>300*0.15</f>
        <v>45</v>
      </c>
      <c r="F255" s="258"/>
      <c r="G255" s="259">
        <v>1.17</v>
      </c>
      <c r="H255" s="258"/>
      <c r="I255" s="260"/>
      <c r="J255" s="259">
        <v>1.08</v>
      </c>
      <c r="K255" s="261"/>
      <c r="L255" s="262"/>
      <c r="M255" s="263"/>
      <c r="N255" s="264"/>
      <c r="O255" s="265"/>
      <c r="P255" s="258"/>
      <c r="Q255" s="266"/>
      <c r="R255" s="267">
        <f>G256+J256</f>
        <v>5.0258780999999999</v>
      </c>
      <c r="S255" s="394">
        <f>R255+R256</f>
        <v>6.3855858671100005</v>
      </c>
      <c r="T255" s="396">
        <f>E255*S255</f>
        <v>287.35136401995004</v>
      </c>
      <c r="U255" s="277"/>
      <c r="V255" s="326"/>
      <c r="W255" s="326"/>
      <c r="X255" s="326">
        <f t="shared" si="7"/>
        <v>0</v>
      </c>
    </row>
    <row r="256" spans="1:24" s="269" customFormat="1" ht="12" customHeight="1">
      <c r="A256" s="358"/>
      <c r="B256" s="270"/>
      <c r="C256" s="393"/>
      <c r="D256" s="271"/>
      <c r="E256" s="276"/>
      <c r="F256" s="272"/>
      <c r="G256" s="131">
        <f>G255*$J$14/1000</f>
        <v>2.2252112999999998</v>
      </c>
      <c r="H256" s="142"/>
      <c r="I256" s="143"/>
      <c r="J256" s="131">
        <f>J255*$Q$14/1000</f>
        <v>2.8006668000000006</v>
      </c>
      <c r="K256" s="273"/>
      <c r="L256" s="398" t="s">
        <v>122</v>
      </c>
      <c r="M256" s="274" t="s">
        <v>23</v>
      </c>
      <c r="N256" s="275">
        <v>1.1000000000000001</v>
      </c>
      <c r="O256" s="275">
        <f>E255*N256</f>
        <v>49.500000000000007</v>
      </c>
      <c r="P256" s="324">
        <v>1.083</v>
      </c>
      <c r="Q256" s="184">
        <f>N256*P256*$N$12</f>
        <v>1.3597077671100004</v>
      </c>
      <c r="R256" s="276">
        <f>SUM(Q256:Q256)</f>
        <v>1.3597077671100004</v>
      </c>
      <c r="S256" s="395"/>
      <c r="T256" s="397"/>
      <c r="U256" s="277"/>
      <c r="V256" s="326"/>
      <c r="W256" s="326">
        <f t="shared" si="7"/>
        <v>0</v>
      </c>
      <c r="X256" s="326">
        <f t="shared" si="7"/>
        <v>0</v>
      </c>
    </row>
    <row r="257" spans="1:24" s="269" customFormat="1" ht="37.5" hidden="1" customHeight="1">
      <c r="A257" s="358"/>
      <c r="B257" s="277"/>
      <c r="C257" s="393"/>
      <c r="D257" s="271"/>
      <c r="E257" s="276"/>
      <c r="F257" s="272"/>
      <c r="G257" s="278"/>
      <c r="H257" s="272"/>
      <c r="I257" s="279"/>
      <c r="J257" s="278"/>
      <c r="K257" s="273"/>
      <c r="L257" s="399"/>
      <c r="M257" s="280"/>
      <c r="N257" s="281"/>
      <c r="O257" s="282"/>
      <c r="P257" s="325"/>
      <c r="Q257" s="283"/>
      <c r="R257" s="276"/>
      <c r="S257" s="276"/>
      <c r="T257" s="284"/>
      <c r="U257" s="277"/>
      <c r="V257" s="326">
        <f t="shared" ref="V251:V258" si="8">S257*$V$13</f>
        <v>0</v>
      </c>
      <c r="W257" s="326">
        <f t="shared" si="7"/>
        <v>0</v>
      </c>
      <c r="X257" s="326">
        <f t="shared" si="7"/>
        <v>0</v>
      </c>
    </row>
    <row r="258" spans="1:24" s="269" customFormat="1" ht="12.75" customHeight="1">
      <c r="A258" s="359"/>
      <c r="B258" s="285"/>
      <c r="C258" s="286"/>
      <c r="D258" s="287"/>
      <c r="E258" s="288"/>
      <c r="F258" s="289"/>
      <c r="G258" s="290"/>
      <c r="H258" s="289"/>
      <c r="I258" s="291"/>
      <c r="J258" s="290"/>
      <c r="K258" s="292"/>
      <c r="L258" s="293"/>
      <c r="M258" s="294"/>
      <c r="N258" s="295"/>
      <c r="O258" s="296"/>
      <c r="P258" s="289"/>
      <c r="Q258" s="297"/>
      <c r="R258" s="288"/>
      <c r="S258" s="288"/>
      <c r="T258" s="298"/>
      <c r="U258" s="277"/>
      <c r="V258" s="326">
        <f t="shared" si="8"/>
        <v>0</v>
      </c>
      <c r="W258" s="326">
        <f t="shared" si="7"/>
        <v>0</v>
      </c>
      <c r="X258" s="326">
        <f t="shared" si="7"/>
        <v>0</v>
      </c>
    </row>
    <row r="259" spans="1:24" s="150" customFormat="1" ht="12.75" customHeight="1">
      <c r="A259" s="353"/>
      <c r="B259" s="223"/>
      <c r="C259" s="224" t="s">
        <v>26</v>
      </c>
      <c r="D259" s="225"/>
      <c r="E259" s="226"/>
      <c r="F259" s="227"/>
      <c r="G259" s="228"/>
      <c r="H259" s="227"/>
      <c r="I259" s="229"/>
      <c r="J259" s="228"/>
      <c r="K259" s="230"/>
      <c r="L259" s="231"/>
      <c r="M259" s="232"/>
      <c r="N259" s="233"/>
      <c r="O259" s="234"/>
      <c r="P259" s="227"/>
      <c r="Q259" s="228"/>
      <c r="R259" s="234"/>
      <c r="S259" s="234"/>
      <c r="T259" s="235">
        <f>SUM(T251:T258)</f>
        <v>804.89165568365729</v>
      </c>
      <c r="U259" s="149"/>
      <c r="V259" s="234"/>
      <c r="W259" s="354">
        <f>SUM(W251:W258)</f>
        <v>0</v>
      </c>
      <c r="X259" s="482">
        <v>0.1055</v>
      </c>
    </row>
    <row r="260" spans="1:24" s="150" customFormat="1" ht="12.75" customHeight="1">
      <c r="A260" s="360"/>
      <c r="B260" s="223"/>
      <c r="C260" s="299"/>
      <c r="D260" s="225"/>
      <c r="E260" s="300"/>
      <c r="F260" s="227"/>
      <c r="G260" s="228"/>
      <c r="H260" s="227"/>
      <c r="I260" s="227"/>
      <c r="J260" s="228"/>
      <c r="K260" s="227"/>
      <c r="L260" s="231"/>
      <c r="M260" s="232"/>
      <c r="N260" s="233"/>
      <c r="O260" s="234"/>
      <c r="P260" s="227"/>
      <c r="Q260" s="228"/>
      <c r="R260" s="234"/>
      <c r="S260" s="234"/>
      <c r="T260" s="235"/>
      <c r="U260" s="149"/>
      <c r="V260" s="234"/>
      <c r="W260" s="354"/>
      <c r="X260" s="354"/>
    </row>
    <row r="261" spans="1:24" s="150" customFormat="1" ht="12.75" customHeight="1">
      <c r="A261" s="360"/>
      <c r="B261" s="223"/>
      <c r="C261" s="299" t="s">
        <v>26</v>
      </c>
      <c r="D261" s="225"/>
      <c r="E261" s="300"/>
      <c r="F261" s="227"/>
      <c r="G261" s="228"/>
      <c r="H261" s="227"/>
      <c r="I261" s="227"/>
      <c r="J261" s="228"/>
      <c r="K261" s="227"/>
      <c r="L261" s="231"/>
      <c r="M261" s="232"/>
      <c r="N261" s="233"/>
      <c r="O261" s="234"/>
      <c r="P261" s="227"/>
      <c r="Q261" s="228"/>
      <c r="R261" s="234"/>
      <c r="S261" s="234"/>
      <c r="T261" s="235">
        <f>T162+T259+T249</f>
        <v>8038.3727576063829</v>
      </c>
      <c r="U261" s="149"/>
      <c r="V261" s="234"/>
      <c r="W261" s="354">
        <f>W162+W259+W249</f>
        <v>0</v>
      </c>
      <c r="X261" s="483">
        <v>1</v>
      </c>
    </row>
    <row r="262" spans="1:24" s="45" customFormat="1" ht="13.5" thickBot="1">
      <c r="A262" s="361"/>
      <c r="B262" s="249"/>
      <c r="C262" s="301" t="s">
        <v>159</v>
      </c>
      <c r="D262" s="304">
        <v>0.2</v>
      </c>
      <c r="E262" s="302"/>
      <c r="F262" s="6"/>
      <c r="G262" s="2"/>
      <c r="H262" s="6"/>
      <c r="I262" s="6"/>
      <c r="J262" s="2"/>
      <c r="K262" s="6"/>
      <c r="L262" s="3"/>
      <c r="M262" s="1"/>
      <c r="N262" s="4"/>
      <c r="O262" s="5"/>
      <c r="P262" s="6"/>
      <c r="Q262" s="2"/>
      <c r="R262" s="5"/>
      <c r="S262" s="5"/>
      <c r="T262" s="303" t="e">
        <f>D262*#REF!</f>
        <v>#REF!</v>
      </c>
      <c r="U262" s="249"/>
      <c r="V262" s="5"/>
      <c r="W262" s="362">
        <f>D262*W261</f>
        <v>0</v>
      </c>
      <c r="X262" s="362">
        <f>E262*X261</f>
        <v>0</v>
      </c>
    </row>
    <row r="263" spans="1:24" s="45" customFormat="1" ht="12.75" customHeight="1" thickTop="1">
      <c r="A263" s="363"/>
      <c r="B263" s="364"/>
      <c r="C263" s="365" t="s">
        <v>33</v>
      </c>
      <c r="D263" s="364"/>
      <c r="E263" s="366"/>
      <c r="F263" s="367"/>
      <c r="G263" s="368"/>
      <c r="H263" s="367"/>
      <c r="I263" s="367"/>
      <c r="J263" s="368"/>
      <c r="K263" s="367"/>
      <c r="L263" s="367"/>
      <c r="M263" s="369"/>
      <c r="N263" s="367"/>
      <c r="O263" s="368"/>
      <c r="P263" s="367"/>
      <c r="Q263" s="368"/>
      <c r="R263" s="368"/>
      <c r="S263" s="368"/>
      <c r="T263" s="370" t="e">
        <f>#REF!</f>
        <v>#REF!</v>
      </c>
      <c r="U263" s="28"/>
      <c r="V263" s="368"/>
      <c r="W263" s="371">
        <f>W261+W262</f>
        <v>0</v>
      </c>
      <c r="X263" s="371"/>
    </row>
    <row r="267" spans="1:24">
      <c r="L267" s="172" t="s">
        <v>34</v>
      </c>
      <c r="P267" s="142" t="s">
        <v>35</v>
      </c>
    </row>
  </sheetData>
  <mergeCells count="209">
    <mergeCell ref="X16:X20"/>
    <mergeCell ref="V11:W11"/>
    <mergeCell ref="V12:W12"/>
    <mergeCell ref="V16:V20"/>
    <mergeCell ref="W16:W20"/>
    <mergeCell ref="C236:C238"/>
    <mergeCell ref="S236:S237"/>
    <mergeCell ref="T236:T237"/>
    <mergeCell ref="C240:C242"/>
    <mergeCell ref="S240:S241"/>
    <mergeCell ref="T240:T241"/>
    <mergeCell ref="C211:C214"/>
    <mergeCell ref="S211:S212"/>
    <mergeCell ref="T211:T212"/>
    <mergeCell ref="L212:L214"/>
    <mergeCell ref="C216:C217"/>
    <mergeCell ref="S216:S217"/>
    <mergeCell ref="T216:T217"/>
    <mergeCell ref="C219:C222"/>
    <mergeCell ref="S219:S220"/>
    <mergeCell ref="T219:T220"/>
    <mergeCell ref="C192:C195"/>
    <mergeCell ref="S192:S193"/>
    <mergeCell ref="T192:T193"/>
    <mergeCell ref="C244:C247"/>
    <mergeCell ref="S244:S245"/>
    <mergeCell ref="T244:T245"/>
    <mergeCell ref="C224:C226"/>
    <mergeCell ref="S224:S225"/>
    <mergeCell ref="T224:T225"/>
    <mergeCell ref="L225:L226"/>
    <mergeCell ref="C232:C234"/>
    <mergeCell ref="S232:S233"/>
    <mergeCell ref="T232:T233"/>
    <mergeCell ref="C228:C230"/>
    <mergeCell ref="S228:S229"/>
    <mergeCell ref="T228:T229"/>
    <mergeCell ref="L193:L195"/>
    <mergeCell ref="C197:C202"/>
    <mergeCell ref="S197:S198"/>
    <mergeCell ref="T197:T198"/>
    <mergeCell ref="L198:L200"/>
    <mergeCell ref="C204:C209"/>
    <mergeCell ref="S204:S205"/>
    <mergeCell ref="T204:T205"/>
    <mergeCell ref="L205:L207"/>
    <mergeCell ref="C178:C180"/>
    <mergeCell ref="S178:S179"/>
    <mergeCell ref="T178:T179"/>
    <mergeCell ref="L179:L180"/>
    <mergeCell ref="C182:C184"/>
    <mergeCell ref="S182:S183"/>
    <mergeCell ref="T182:T183"/>
    <mergeCell ref="L183:L184"/>
    <mergeCell ref="C186:C190"/>
    <mergeCell ref="S186:S187"/>
    <mergeCell ref="T186:T187"/>
    <mergeCell ref="L187:L190"/>
    <mergeCell ref="C164:C167"/>
    <mergeCell ref="S164:S165"/>
    <mergeCell ref="T164:T165"/>
    <mergeCell ref="L165:L167"/>
    <mergeCell ref="C169:C172"/>
    <mergeCell ref="S169:S170"/>
    <mergeCell ref="T169:T170"/>
    <mergeCell ref="L170:L172"/>
    <mergeCell ref="C174:C176"/>
    <mergeCell ref="S174:S175"/>
    <mergeCell ref="T174:T175"/>
    <mergeCell ref="L175:L176"/>
    <mergeCell ref="C154:C155"/>
    <mergeCell ref="S154:S155"/>
    <mergeCell ref="T154:T155"/>
    <mergeCell ref="C157:C160"/>
    <mergeCell ref="S157:S158"/>
    <mergeCell ref="T157:T158"/>
    <mergeCell ref="C150:C152"/>
    <mergeCell ref="S150:S151"/>
    <mergeCell ref="T150:T151"/>
    <mergeCell ref="C135:C138"/>
    <mergeCell ref="C140:C142"/>
    <mergeCell ref="S140:S142"/>
    <mergeCell ref="T140:T142"/>
    <mergeCell ref="R141:R142"/>
    <mergeCell ref="C144:C148"/>
    <mergeCell ref="S144:S145"/>
    <mergeCell ref="T144:T145"/>
    <mergeCell ref="L145:L148"/>
    <mergeCell ref="S82:S83"/>
    <mergeCell ref="T82:T83"/>
    <mergeCell ref="L83:L84"/>
    <mergeCell ref="C117:C118"/>
    <mergeCell ref="C120:C123"/>
    <mergeCell ref="C125:C127"/>
    <mergeCell ref="S125:S127"/>
    <mergeCell ref="T125:T127"/>
    <mergeCell ref="R126:R127"/>
    <mergeCell ref="E6:R6"/>
    <mergeCell ref="A10:B10"/>
    <mergeCell ref="P10:R10"/>
    <mergeCell ref="E11:G11"/>
    <mergeCell ref="C44:C46"/>
    <mergeCell ref="S44:S45"/>
    <mergeCell ref="T44:T45"/>
    <mergeCell ref="D12:F12"/>
    <mergeCell ref="N12:P12"/>
    <mergeCell ref="N13:P13"/>
    <mergeCell ref="J14:L14"/>
    <mergeCell ref="Q14:S14"/>
    <mergeCell ref="A16:A20"/>
    <mergeCell ref="B16:B20"/>
    <mergeCell ref="C16:C20"/>
    <mergeCell ref="D16:D20"/>
    <mergeCell ref="E16:E20"/>
    <mergeCell ref="P17:P20"/>
    <mergeCell ref="Q17:Q20"/>
    <mergeCell ref="F16:H20"/>
    <mergeCell ref="I16:K20"/>
    <mergeCell ref="L16:Q16"/>
    <mergeCell ref="R16:R20"/>
    <mergeCell ref="S16:S20"/>
    <mergeCell ref="T16:T20"/>
    <mergeCell ref="L17:L20"/>
    <mergeCell ref="M17:M20"/>
    <mergeCell ref="N17:N20"/>
    <mergeCell ref="O17:O20"/>
    <mergeCell ref="C32:C34"/>
    <mergeCell ref="S32:S33"/>
    <mergeCell ref="T32:T33"/>
    <mergeCell ref="L33:L34"/>
    <mergeCell ref="A21:T23"/>
    <mergeCell ref="C28:C30"/>
    <mergeCell ref="B24:B25"/>
    <mergeCell ref="C24:C26"/>
    <mergeCell ref="S24:S25"/>
    <mergeCell ref="T24:T25"/>
    <mergeCell ref="L25:L26"/>
    <mergeCell ref="S113:S114"/>
    <mergeCell ref="T113:T114"/>
    <mergeCell ref="L68:L69"/>
    <mergeCell ref="B54:B55"/>
    <mergeCell ref="C54:C57"/>
    <mergeCell ref="S54:S55"/>
    <mergeCell ref="T54:T55"/>
    <mergeCell ref="L55:L57"/>
    <mergeCell ref="C36:C38"/>
    <mergeCell ref="S36:S37"/>
    <mergeCell ref="T36:T37"/>
    <mergeCell ref="C40:C42"/>
    <mergeCell ref="S40:S41"/>
    <mergeCell ref="T40:T41"/>
    <mergeCell ref="C48:C52"/>
    <mergeCell ref="S48:S49"/>
    <mergeCell ref="T48:T49"/>
    <mergeCell ref="L49:L52"/>
    <mergeCell ref="B77:B78"/>
    <mergeCell ref="C77:C80"/>
    <mergeCell ref="S77:S78"/>
    <mergeCell ref="T77:T78"/>
    <mergeCell ref="L78:L80"/>
    <mergeCell ref="C82:C84"/>
    <mergeCell ref="S67:S68"/>
    <mergeCell ref="T67:T68"/>
    <mergeCell ref="C255:C257"/>
    <mergeCell ref="S255:S256"/>
    <mergeCell ref="T255:T256"/>
    <mergeCell ref="L256:L257"/>
    <mergeCell ref="T90:T91"/>
    <mergeCell ref="L91:L94"/>
    <mergeCell ref="C105:C107"/>
    <mergeCell ref="S105:S106"/>
    <mergeCell ref="T105:T106"/>
    <mergeCell ref="C129:C133"/>
    <mergeCell ref="S129:S130"/>
    <mergeCell ref="T129:T130"/>
    <mergeCell ref="L130:L133"/>
    <mergeCell ref="C101:C103"/>
    <mergeCell ref="C90:C94"/>
    <mergeCell ref="S90:S91"/>
    <mergeCell ref="C96:C99"/>
    <mergeCell ref="T101:T102"/>
    <mergeCell ref="C109:C111"/>
    <mergeCell ref="S109:S110"/>
    <mergeCell ref="T109:T110"/>
    <mergeCell ref="C113:C115"/>
    <mergeCell ref="A7:W7"/>
    <mergeCell ref="A5:W5"/>
    <mergeCell ref="S96:S97"/>
    <mergeCell ref="T96:T97"/>
    <mergeCell ref="S101:S102"/>
    <mergeCell ref="C59:C61"/>
    <mergeCell ref="S59:S60"/>
    <mergeCell ref="T59:T60"/>
    <mergeCell ref="C251:C253"/>
    <mergeCell ref="S251:S253"/>
    <mergeCell ref="T251:T253"/>
    <mergeCell ref="R252:R253"/>
    <mergeCell ref="C63:C65"/>
    <mergeCell ref="S63:S64"/>
    <mergeCell ref="T63:T64"/>
    <mergeCell ref="C71:C75"/>
    <mergeCell ref="S71:S72"/>
    <mergeCell ref="T71:T72"/>
    <mergeCell ref="L72:L75"/>
    <mergeCell ref="C86:C88"/>
    <mergeCell ref="S86:S87"/>
    <mergeCell ref="T86:T87"/>
    <mergeCell ref="L87:L88"/>
    <mergeCell ref="C67:C69"/>
  </mergeCells>
  <pageMargins left="0.31496062992125984" right="0" top="0.74803149606299213" bottom="0.51181102362204722" header="0.51181102362204722" footer="0.23622047244094491"/>
  <pageSetup paperSize="9" orientation="portrait" r:id="rId1"/>
  <headerFooter alignWithMargins="0">
    <oddHeader>&amp;L&amp;"Arial,Курсив"&amp;6&amp;F</oddHeader>
    <oddFooter>&amp;R&amp;"Arial LatRus,Regular"&amp;8Էջ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2-1ջ</vt:lpstr>
      <vt:lpstr>'2-1ջ'!Print_Titles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&amp; Robert</dc:creator>
  <cp:lastModifiedBy>Artyom</cp:lastModifiedBy>
  <cp:lastPrinted>2020-04-06T12:03:46Z</cp:lastPrinted>
  <dcterms:created xsi:type="dcterms:W3CDTF">2000-04-17T03:23:27Z</dcterms:created>
  <dcterms:modified xsi:type="dcterms:W3CDTF">2020-11-18T12:18:18Z</dcterms:modified>
</cp:coreProperties>
</file>